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Stojak" sheetId="1" r:id="rId1"/>
    <sheet name="Zamówienie do drukowania" sheetId="2" r:id="rId2"/>
    <sheet name="Lista materiałowa" sheetId="3" r:id="rId3"/>
    <sheet name="cena materiału" sheetId="4" state="hidden" r:id="rId4"/>
  </sheets>
  <definedNames>
    <definedName name="_xlnm.Print_Area" localSheetId="2">'Lista materiałowa'!$A$1:$I$75</definedName>
    <definedName name="_xlnm.Print_Area" localSheetId="1">'Zamówienie do drukowania'!$A$1:$I$38</definedName>
    <definedName name="Excel_BuiltIn_Print_Area_3">'Lista materiałowa'!$A$1:$I$74</definedName>
    <definedName name="Excel_BuiltIn_Print_Area_3_1">'Lista materiałowa'!$A$1:$I$76</definedName>
    <definedName name="Excel_BuiltIn_Print_Area_3_1_1">'Lista materiałowa'!$A$1:$I$78</definedName>
    <definedName name="Excel_BuiltIn_Print_Area_3_1_1_1">'Lista materiałowa'!$A$1:$I$68</definedName>
    <definedName name="Excel_BuiltIn_Print_Area_3_1_1_1_1">'Lista materiałowa'!$A$1:$I$52</definedName>
    <definedName name="Excel_BuiltIn_Print_Area_3_1_1_1_1_1">'Lista materiałowa'!$A$1:$I$66</definedName>
    <definedName name="Excel_BuiltIn_Print_Area_1">'Stojak'!$A$1:$I$41</definedName>
    <definedName name="Excel_BuiltIn_Print_Area_1_1">'Stojak'!$A$1:$I$42</definedName>
    <definedName name="Excel_BuiltIn_Print_Area_1_1_1">'Stojak'!$A$1:$I$53</definedName>
    <definedName name="Excel_BuiltIn_Print_Area_2_1">'Zamówienie do drukowania'!$A$5:$I$35</definedName>
  </definedNames>
  <calcPr fullCalcOnLoad="1"/>
</workbook>
</file>

<file path=xl/sharedStrings.xml><?xml version="1.0" encoding="utf-8"?>
<sst xmlns="http://schemas.openxmlformats.org/spreadsheetml/2006/main" count="178" uniqueCount="150">
  <si>
    <t>Przedsiębiorstwo „TMD”, 26-600 Radom, ul. Energetyków 16</t>
  </si>
  <si>
    <r>
      <t xml:space="preserve">Kalkulator do obliczania ceny stojaków bateryjnych v1.2.1, </t>
    </r>
    <r>
      <rPr>
        <b/>
        <sz val="10"/>
        <color indexed="8"/>
        <rFont val="Arial"/>
        <family val="2"/>
      </rPr>
      <t>obowiązuje od 01.08.2011</t>
    </r>
  </si>
  <si>
    <t>Symbol baterii</t>
  </si>
  <si>
    <t>12V24AH</t>
  </si>
  <si>
    <t>Bateria Długość [mm]</t>
  </si>
  <si>
    <t>Błąd !!!</t>
  </si>
  <si>
    <t>Bateria Szerokość [mm]</t>
  </si>
  <si>
    <t>Bateria Wysokość [mm]</t>
  </si>
  <si>
    <t>Odstęp między bateriami [mm]</t>
  </si>
  <si>
    <t>Ilość baterii</t>
  </si>
  <si>
    <t>Ilość półek</t>
  </si>
  <si>
    <t>Segment 1 - długość [mm]</t>
  </si>
  <si>
    <t>Zwiększ ilość półek i/lub zmniejsz ilość baterii i/lub zmniejsz odstęp między bateriami</t>
  </si>
  <si>
    <t>Segment 2 - długość [mm]</t>
  </si>
  <si>
    <t>Segment 3 - długość [mm]</t>
  </si>
  <si>
    <t>Wysokość stojaka [mm]</t>
  </si>
  <si>
    <t>Wymiary stojaka</t>
  </si>
  <si>
    <t>[mm]</t>
  </si>
  <si>
    <t>Ilość baterii na półce (1-rząd)</t>
  </si>
  <si>
    <t>Długość</t>
  </si>
  <si>
    <t>Miejsce na baterie (szt.)</t>
  </si>
  <si>
    <t>Szerokość</t>
  </si>
  <si>
    <t>Ilość rzędów</t>
  </si>
  <si>
    <t>Suma</t>
  </si>
  <si>
    <t>Wysokość</t>
  </si>
  <si>
    <t>Wymagana długość stojaka [mm]</t>
  </si>
  <si>
    <t>Rzeczywista długość stojaka [mm]</t>
  </si>
  <si>
    <r>
      <t xml:space="preserve"> </t>
    </r>
    <r>
      <rPr>
        <b/>
        <sz val="10"/>
        <color indexed="25"/>
        <rFont val="Arial"/>
        <family val="2"/>
      </rPr>
      <t>- wartość nie może przekraczać 3000</t>
    </r>
  </si>
  <si>
    <t>Instrukcja</t>
  </si>
  <si>
    <t>Wypełnić tylko pola jasno szare:</t>
  </si>
  <si>
    <t>Segment 1</t>
  </si>
  <si>
    <t>Segment 2</t>
  </si>
  <si>
    <t>Segment3</t>
  </si>
  <si>
    <t>1. Wprowadź wymiary baterii długość, szerokość, wysokość.</t>
  </si>
  <si>
    <t>Długości belek [mm]</t>
  </si>
  <si>
    <t xml:space="preserve">    Zamieniając długość z szerokością można zmienić ustawienie </t>
  </si>
  <si>
    <t xml:space="preserve">    Baterii na stojaku,</t>
  </si>
  <si>
    <t>Ilość belek skrajnych</t>
  </si>
  <si>
    <t>2. Podaj odstęp między bateriami,</t>
  </si>
  <si>
    <t>Cena belek skrajnych</t>
  </si>
  <si>
    <t>Pole B17 jest sumą długości trzech segmentów</t>
  </si>
  <si>
    <t>3. Podaj ilość baterii, ilość półek od 2 do 4 (zwiększając lub</t>
  </si>
  <si>
    <t>Ilość belek środkowych</t>
  </si>
  <si>
    <r>
      <t xml:space="preserve">    </t>
    </r>
    <r>
      <rPr>
        <sz val="10"/>
        <color indexed="62"/>
        <rFont val="Arial"/>
        <family val="2"/>
      </rPr>
      <t>Zmniejszając ilość półek można regulować dł. I wys. stojaka</t>
    </r>
  </si>
  <si>
    <t>Cena belek środkowych</t>
  </si>
  <si>
    <t>Ilość podpór  3-poziomowych</t>
  </si>
  <si>
    <t>Cena podpór</t>
  </si>
  <si>
    <t>Ilość podpór  2-poziomowych</t>
  </si>
  <si>
    <t xml:space="preserve">Cena podpór </t>
  </si>
  <si>
    <t>Ilość stopek</t>
  </si>
  <si>
    <t>Cena stopek</t>
  </si>
  <si>
    <t>=</t>
  </si>
  <si>
    <t>Ilość łączniki podpór podwójnych</t>
  </si>
  <si>
    <t>Cena łączniki podpór podwójnych</t>
  </si>
  <si>
    <t>Ilość łączników segmentów</t>
  </si>
  <si>
    <t>Cena łączników</t>
  </si>
  <si>
    <t>Ilość zaślepek</t>
  </si>
  <si>
    <t>Cena zaślepek</t>
  </si>
  <si>
    <t>Ilość przekosów</t>
  </si>
  <si>
    <t>Cena przekosów</t>
  </si>
  <si>
    <t>Cena całego kompletu</t>
  </si>
  <si>
    <t>Przedsiębiorstwo TMD</t>
  </si>
  <si>
    <t>Tel:+48 48 3606557, 3606504, fax:+48 48 3606307,</t>
  </si>
  <si>
    <t>http://www.tmd.pl</t>
  </si>
  <si>
    <t>e-mail: tmd@tmd.pl</t>
  </si>
  <si>
    <r>
      <t xml:space="preserve">  </t>
    </r>
    <r>
      <rPr>
        <sz val="10.5"/>
        <color indexed="8"/>
        <rFont val="Arial"/>
        <family val="2"/>
      </rPr>
      <t>NIP: 948-137-24-86, Regon: 670953818,</t>
    </r>
  </si>
  <si>
    <r>
      <t xml:space="preserve"> </t>
    </r>
    <r>
      <rPr>
        <sz val="10"/>
        <color indexed="8"/>
        <rFont val="Arial"/>
        <family val="2"/>
      </rPr>
      <t>Bank: PeKaO SA  I/o Radom :</t>
    </r>
  </si>
  <si>
    <r>
      <t xml:space="preserve"> </t>
    </r>
    <r>
      <rPr>
        <sz val="10"/>
        <color indexed="8"/>
        <rFont val="Arial"/>
        <family val="2"/>
      </rPr>
      <t>65 1240 1789 1111 0000 0777 5745</t>
    </r>
  </si>
  <si>
    <t>Zamówienie na stojak bateryjny</t>
  </si>
  <si>
    <t>dn.</t>
  </si>
  <si>
    <t>Zamawiający</t>
  </si>
  <si>
    <t>Nazwa firmy:</t>
  </si>
  <si>
    <t>Adres firmy:</t>
  </si>
  <si>
    <t>NIP:</t>
  </si>
  <si>
    <t>Telefon:</t>
  </si>
  <si>
    <t>Fax:</t>
  </si>
  <si>
    <t>Osoba kontaktowa:</t>
  </si>
  <si>
    <t>Numer zamówienia:</t>
  </si>
  <si>
    <t>Dostawca</t>
  </si>
  <si>
    <t>Przedsiębiorstwo TMD 26-600 Radom, ul. Energetyków 16</t>
  </si>
  <si>
    <t>(0-48) 360-65-04, (0-48) 360-65-57</t>
  </si>
  <si>
    <t>(0-48) 360-63-07</t>
  </si>
  <si>
    <t>948-137-24-86</t>
  </si>
  <si>
    <t>Kolor stojaka RAL:</t>
  </si>
  <si>
    <t>Standardowy kolor 7035</t>
  </si>
  <si>
    <t>Termin realizacji:</t>
  </si>
  <si>
    <t>Ilość stojaków:</t>
  </si>
  <si>
    <t>Upust:</t>
  </si>
  <si>
    <t>%</t>
  </si>
  <si>
    <t>Cena stojaka (1 szt.)</t>
  </si>
  <si>
    <t>Długość stojaka</t>
  </si>
  <si>
    <t>Stojak typ</t>
  </si>
  <si>
    <t>Szerokość stojaka</t>
  </si>
  <si>
    <t>Typ baterii</t>
  </si>
  <si>
    <t>Wysokość stojaka</t>
  </si>
  <si>
    <t>Długość baterii [mm]</t>
  </si>
  <si>
    <t>Szerokość baterii [mm]</t>
  </si>
  <si>
    <t>Wysokość baterii [mm]</t>
  </si>
  <si>
    <t>Wartość netto (suma)</t>
  </si>
  <si>
    <t>Wartość netto po upuście</t>
  </si>
  <si>
    <t>Przedsiębiorstwo „TMD”, 26-600 Radom, ul.Energetyków 16,</t>
  </si>
  <si>
    <r>
      <t xml:space="preserve"> </t>
    </r>
    <r>
      <rPr>
        <sz val="12"/>
        <color indexed="8"/>
        <rFont val="Arial"/>
        <family val="2"/>
      </rPr>
      <t>Tel:+4848 3606557, 3606504, fax:+4848 3606307, http://www.tmd.pl</t>
    </r>
  </si>
  <si>
    <r>
      <t xml:space="preserve"> </t>
    </r>
    <r>
      <rPr>
        <i/>
        <sz val="12"/>
        <rFont val="Arial"/>
        <family val="2"/>
      </rPr>
      <t>e-mail: tmd@tmd.pl   NIP: 948-137-24-86, Regon: 670953818,</t>
    </r>
  </si>
  <si>
    <r>
      <t xml:space="preserve"> </t>
    </r>
    <r>
      <rPr>
        <sz val="12"/>
        <color indexed="8"/>
        <rFont val="Arial"/>
        <family val="2"/>
      </rPr>
      <t>Bank: PeKaO SA  I/o Radom : 65 1240 1789 1111 0000 0777 5745</t>
    </r>
  </si>
  <si>
    <t>Radom dn.</t>
  </si>
  <si>
    <t>Materiały na stojak bateryjny</t>
  </si>
  <si>
    <t>Podpory  2-poziomowe</t>
  </si>
  <si>
    <t>Szt.</t>
  </si>
  <si>
    <t>Podpory środkowe 2-poziomowe</t>
  </si>
  <si>
    <t>Podpory  3-poziomowe</t>
  </si>
  <si>
    <t>Podpory środkowe 3-poziomowe</t>
  </si>
  <si>
    <t>Belki skrajne dł. 1000 mm</t>
  </si>
  <si>
    <t>Belki skrajne dł. 700 mm</t>
  </si>
  <si>
    <t>Belki skrajne dł. 500 mm</t>
  </si>
  <si>
    <t>Belki środkowe dł. 1000 mm</t>
  </si>
  <si>
    <t>Belki środkowe dł. 700 mm</t>
  </si>
  <si>
    <t>Belki środkowe dł. 500 mm</t>
  </si>
  <si>
    <t>Łącznik segmentów</t>
  </si>
  <si>
    <t>Śruba M8x70</t>
  </si>
  <si>
    <t>Łącznik podpór podwójnych</t>
  </si>
  <si>
    <t>Śruba M8x25</t>
  </si>
  <si>
    <t>śruby do łączników</t>
  </si>
  <si>
    <t>Nakrętki M8</t>
  </si>
  <si>
    <t>Suma dodatkowych śrub</t>
  </si>
  <si>
    <t xml:space="preserve">śruby do </t>
  </si>
  <si>
    <t>Podkładki płaskie  M8</t>
  </si>
  <si>
    <t>Podkładki wrzynające poszerzane M8</t>
  </si>
  <si>
    <t>Podkładki sprężynujące M8</t>
  </si>
  <si>
    <t>Stopki</t>
  </si>
  <si>
    <t>Jeżeli 500</t>
  </si>
  <si>
    <t>Suma śrub dodatkowy</t>
  </si>
  <si>
    <t>Łączniki  segmentów</t>
  </si>
  <si>
    <t>Zaślepki</t>
  </si>
  <si>
    <t xml:space="preserve">Przekos </t>
  </si>
  <si>
    <t>Uziom</t>
  </si>
  <si>
    <t>Bateria (typ)</t>
  </si>
  <si>
    <t>Cena całkowita</t>
  </si>
  <si>
    <t>Podpora 2-poziomowa skrajna</t>
  </si>
  <si>
    <t>Podpora 2-poziomowa środkowa</t>
  </si>
  <si>
    <t>Podpora 3-poziomowa skrajna</t>
  </si>
  <si>
    <t>Podpora 3-poziomowa środkowa</t>
  </si>
  <si>
    <t>Belka skrajna 500</t>
  </si>
  <si>
    <t>Belka skrajna 700</t>
  </si>
  <si>
    <t>Belka skrajna 1000</t>
  </si>
  <si>
    <t>Belka środkowa 500</t>
  </si>
  <si>
    <t>Belka środkowa 700</t>
  </si>
  <si>
    <t>Belka środkowa 1000</t>
  </si>
  <si>
    <t>Łączniki podpór podwójnych</t>
  </si>
  <si>
    <t>Dystans</t>
  </si>
  <si>
    <t>Przekosy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</si>
</sst>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\ [$zł-415];[RED]\-#,##0.00\ [$zł-415]"/>
    <numFmt numFmtId="167" formatCode="YY/MM/DD\ HH:MM"/>
    <numFmt numFmtId="168" formatCode="DD/MM/YY\ HH:MM"/>
    <numFmt numFmtId="169" formatCode="DD/MM/YYYY"/>
  </numFmts>
  <fonts count="29">
    <font>
      <sz val="10"/>
      <name val="Arial"/>
      <family val="2"/>
    </font>
    <font>
      <sz val="10"/>
      <color indexed="53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25"/>
      <name val="Arial"/>
      <family val="2"/>
    </font>
    <font>
      <sz val="10.5"/>
      <color indexed="62"/>
      <name val="Arial"/>
      <family val="2"/>
    </font>
    <font>
      <b/>
      <sz val="10"/>
      <color indexed="25"/>
      <name val="Arial"/>
      <family val="2"/>
    </font>
    <font>
      <sz val="10"/>
      <color indexed="25"/>
      <name val="Lucida Sans Unicode"/>
      <family val="2"/>
    </font>
    <font>
      <sz val="10"/>
      <color indexed="62"/>
      <name val="Lucida Sans Unicode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8"/>
      <name val="Lucida Sans Unicode"/>
      <family val="2"/>
    </font>
    <font>
      <sz val="10.5"/>
      <color indexed="8"/>
      <name val="Lucida Sans Unicode"/>
      <family val="2"/>
    </font>
    <font>
      <sz val="10.5"/>
      <color indexed="8"/>
      <name val="Arial"/>
      <family val="2"/>
    </font>
    <font>
      <sz val="4.7"/>
      <color indexed="8"/>
      <name val="Lucida Sans Unicode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sz val="10"/>
      <color indexed="8"/>
      <name val="Lucida Sans Unicode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Border="0" applyProtection="0">
      <alignment horizontal="center" vertical="center"/>
    </xf>
  </cellStyleXfs>
  <cellXfs count="1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3" fillId="4" borderId="0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5" borderId="0" xfId="0" applyFont="1" applyFill="1" applyAlignment="1" applyProtection="1">
      <alignment horizontal="right"/>
      <protection locked="0"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3" borderId="0" xfId="0" applyFont="1" applyFill="1" applyAlignment="1">
      <alignment/>
    </xf>
    <xf numFmtId="164" fontId="0" fillId="5" borderId="0" xfId="0" applyFill="1" applyAlignment="1" applyProtection="1">
      <alignment/>
      <protection locked="0"/>
    </xf>
    <xf numFmtId="164" fontId="6" fillId="0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horizontal="right"/>
    </xf>
    <xf numFmtId="164" fontId="0" fillId="0" borderId="0" xfId="0" applyFont="1" applyFill="1" applyAlignment="1">
      <alignment horizontal="left"/>
    </xf>
    <xf numFmtId="164" fontId="0" fillId="6" borderId="0" xfId="0" applyFill="1" applyBorder="1" applyAlignment="1" applyProtection="1">
      <alignment/>
      <protection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 horizontal="center"/>
    </xf>
    <xf numFmtId="164" fontId="0" fillId="2" borderId="0" xfId="0" applyFill="1" applyAlignment="1">
      <alignment horizontal="right"/>
    </xf>
    <xf numFmtId="164" fontId="8" fillId="0" borderId="0" xfId="0" applyFont="1" applyFill="1" applyAlignment="1">
      <alignment horizontal="left"/>
    </xf>
    <xf numFmtId="164" fontId="8" fillId="6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0" fillId="6" borderId="0" xfId="0" applyNumberFormat="1" applyFill="1" applyAlignment="1">
      <alignment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right"/>
    </xf>
    <xf numFmtId="164" fontId="8" fillId="0" borderId="0" xfId="0" applyFont="1" applyFill="1" applyAlignment="1">
      <alignment/>
    </xf>
    <xf numFmtId="164" fontId="8" fillId="6" borderId="0" xfId="0" applyFont="1" applyFill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right"/>
    </xf>
    <xf numFmtId="164" fontId="3" fillId="3" borderId="1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6" fontId="10" fillId="2" borderId="0" xfId="0" applyNumberFormat="1" applyFont="1" applyFill="1" applyBorder="1" applyAlignment="1">
      <alignment horizontal="left"/>
    </xf>
    <xf numFmtId="164" fontId="3" fillId="3" borderId="0" xfId="0" applyFont="1" applyFill="1" applyAlignment="1">
      <alignment/>
    </xf>
    <xf numFmtId="164" fontId="11" fillId="6" borderId="0" xfId="0" applyNumberFormat="1" applyFont="1" applyFill="1" applyAlignment="1">
      <alignment/>
    </xf>
    <xf numFmtId="164" fontId="1" fillId="0" borderId="0" xfId="0" applyFont="1" applyFill="1" applyBorder="1" applyAlignment="1">
      <alignment horizontal="left"/>
    </xf>
    <xf numFmtId="164" fontId="9" fillId="3" borderId="0" xfId="0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6" borderId="0" xfId="0" applyFont="1" applyFill="1" applyAlignment="1">
      <alignment/>
    </xf>
    <xf numFmtId="164" fontId="14" fillId="0" borderId="0" xfId="0" applyFont="1" applyFill="1" applyAlignment="1">
      <alignment/>
    </xf>
    <xf numFmtId="164" fontId="15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0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17" fillId="3" borderId="0" xfId="0" applyFont="1" applyFill="1" applyAlignment="1">
      <alignment/>
    </xf>
    <xf numFmtId="164" fontId="9" fillId="0" borderId="0" xfId="0" applyFon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4" fontId="18" fillId="3" borderId="0" xfId="0" applyFont="1" applyFill="1" applyAlignment="1">
      <alignment/>
    </xf>
    <xf numFmtId="164" fontId="15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4" fontId="8" fillId="3" borderId="0" xfId="0" applyFont="1" applyFill="1" applyBorder="1" applyAlignment="1">
      <alignment/>
    </xf>
    <xf numFmtId="166" fontId="10" fillId="3" borderId="0" xfId="0" applyNumberFormat="1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19" fillId="3" borderId="0" xfId="0" applyFont="1" applyFill="1" applyBorder="1" applyAlignment="1">
      <alignment horizontal="center"/>
    </xf>
    <xf numFmtId="164" fontId="20" fillId="3" borderId="0" xfId="0" applyFont="1" applyFill="1" applyBorder="1" applyAlignment="1">
      <alignment horizontal="center"/>
    </xf>
    <xf numFmtId="164" fontId="22" fillId="3" borderId="0" xfId="0" applyFont="1" applyFill="1" applyBorder="1" applyAlignment="1">
      <alignment horizontal="center"/>
    </xf>
    <xf numFmtId="164" fontId="0" fillId="3" borderId="0" xfId="0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8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4" fontId="8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7" borderId="0" xfId="0" applyFont="1" applyFill="1" applyBorder="1" applyAlignment="1" applyProtection="1">
      <alignment horizontal="left"/>
      <protection locked="0"/>
    </xf>
    <xf numFmtId="164" fontId="19" fillId="0" borderId="0" xfId="0" applyFont="1" applyBorder="1" applyAlignment="1">
      <alignment horizontal="right"/>
    </xf>
    <xf numFmtId="164" fontId="3" fillId="7" borderId="0" xfId="0" applyFont="1" applyFill="1" applyBorder="1" applyAlignment="1" applyProtection="1">
      <alignment horizontal="left"/>
      <protection locked="0"/>
    </xf>
    <xf numFmtId="164" fontId="24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7" borderId="0" xfId="0" applyFont="1" applyFill="1" applyBorder="1" applyAlignment="1" applyProtection="1">
      <alignment horizontal="left"/>
      <protection locked="0"/>
    </xf>
    <xf numFmtId="169" fontId="19" fillId="7" borderId="0" xfId="0" applyNumberFormat="1" applyFont="1" applyFill="1" applyBorder="1" applyAlignment="1" applyProtection="1">
      <alignment horizontal="left"/>
      <protection locked="0"/>
    </xf>
    <xf numFmtId="164" fontId="19" fillId="7" borderId="0" xfId="0" applyFont="1" applyFill="1" applyBorder="1" applyAlignment="1" applyProtection="1">
      <alignment horizontal="center"/>
      <protection locked="0"/>
    </xf>
    <xf numFmtId="165" fontId="19" fillId="7" borderId="0" xfId="0" applyNumberFormat="1" applyFont="1" applyFill="1" applyBorder="1" applyAlignment="1" applyProtection="1">
      <alignment horizontal="center"/>
      <protection locked="0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Font="1" applyAlignment="1">
      <alignment horizontal="center"/>
    </xf>
    <xf numFmtId="164" fontId="28" fillId="0" borderId="1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8" fillId="0" borderId="0" xfId="0" applyFont="1" applyAlignment="1">
      <alignment/>
    </xf>
    <xf numFmtId="164" fontId="5" fillId="3" borderId="0" xfId="0" applyNumberFormat="1" applyFont="1" applyFill="1" applyAlignment="1">
      <alignment/>
    </xf>
    <xf numFmtId="164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Font="1" applyAlignment="1">
      <alignment horizontal="center"/>
    </xf>
    <xf numFmtId="164" fontId="26" fillId="0" borderId="1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6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olor" xfId="20"/>
  </cellStyles>
  <dxfs count="1">
    <dxf>
      <font>
        <b val="0"/>
        <color rgb="FFFF3366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E6E6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27</xdr:row>
      <xdr:rowOff>19050</xdr:rowOff>
    </xdr:from>
    <xdr:to>
      <xdr:col>9</xdr:col>
      <xdr:colOff>628650</xdr:colOff>
      <xdr:row>61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067175"/>
          <a:ext cx="5153025" cy="444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314325</xdr:colOff>
      <xdr:row>99</xdr:row>
      <xdr:rowOff>28575</xdr:rowOff>
    </xdr:from>
    <xdr:to>
      <xdr:col>10</xdr:col>
      <xdr:colOff>333375</xdr:colOff>
      <xdr:row>99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696450" y="14611350"/>
          <a:ext cx="190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99</xdr:row>
      <xdr:rowOff>28575</xdr:rowOff>
    </xdr:from>
    <xdr:to>
      <xdr:col>10</xdr:col>
      <xdr:colOff>333375</xdr:colOff>
      <xdr:row>99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9696450" y="14611350"/>
          <a:ext cx="190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100</xdr:row>
      <xdr:rowOff>38100</xdr:rowOff>
    </xdr:from>
    <xdr:to>
      <xdr:col>10</xdr:col>
      <xdr:colOff>333375</xdr:colOff>
      <xdr:row>100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696450" y="14782800"/>
          <a:ext cx="190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100</xdr:row>
      <xdr:rowOff>38100</xdr:rowOff>
    </xdr:from>
    <xdr:to>
      <xdr:col>7</xdr:col>
      <xdr:colOff>304800</xdr:colOff>
      <xdr:row>100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343775" y="147828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27</xdr:row>
      <xdr:rowOff>123825</xdr:rowOff>
    </xdr:from>
    <xdr:to>
      <xdr:col>9</xdr:col>
      <xdr:colOff>171450</xdr:colOff>
      <xdr:row>28</xdr:row>
      <xdr:rowOff>104775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8143875" y="417195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Segment 2</a:t>
          </a:r>
        </a:p>
      </xdr:txBody>
    </xdr:sp>
    <xdr:clientData/>
  </xdr:twoCellAnchor>
  <xdr:twoCellAnchor>
    <xdr:from>
      <xdr:col>4</xdr:col>
      <xdr:colOff>590550</xdr:colOff>
      <xdr:row>30</xdr:row>
      <xdr:rowOff>47625</xdr:rowOff>
    </xdr:from>
    <xdr:to>
      <xdr:col>5</xdr:col>
      <xdr:colOff>438150</xdr:colOff>
      <xdr:row>31</xdr:row>
      <xdr:rowOff>28575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5286375" y="4419600"/>
          <a:ext cx="62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Segment 1</a:t>
          </a:r>
        </a:p>
      </xdr:txBody>
    </xdr:sp>
    <xdr:clientData/>
  </xdr:twoCellAnchor>
  <xdr:twoCellAnchor>
    <xdr:from>
      <xdr:col>2</xdr:col>
      <xdr:colOff>95250</xdr:colOff>
      <xdr:row>52</xdr:row>
      <xdr:rowOff>47625</xdr:rowOff>
    </xdr:from>
    <xdr:to>
      <xdr:col>4</xdr:col>
      <xdr:colOff>266700</xdr:colOff>
      <xdr:row>57</xdr:row>
      <xdr:rowOff>142875</xdr:rowOff>
    </xdr:to>
    <xdr:grpSp>
      <xdr:nvGrpSpPr>
        <xdr:cNvPr id="8" name="Group 8"/>
        <xdr:cNvGrpSpPr>
          <a:grpSpLocks/>
        </xdr:cNvGrpSpPr>
      </xdr:nvGrpSpPr>
      <xdr:grpSpPr>
        <a:xfrm>
          <a:off x="3228975" y="7010400"/>
          <a:ext cx="1733550" cy="904875"/>
          <a:chOff x="5348" y="11176"/>
          <a:chExt cx="2882" cy="1459"/>
        </a:xfrm>
        <a:solidFill>
          <a:srgbClr val="FFFFFF"/>
        </a:solidFill>
      </xdr:grpSpPr>
      <xdr:sp fLocksText="0">
        <xdr:nvSpPr>
          <xdr:cNvPr id="9" name="Text 9"/>
          <xdr:cNvSpPr txBox="1">
            <a:spLocks noChangeArrowheads="1"/>
          </xdr:cNvSpPr>
        </xdr:nvSpPr>
        <xdr:spPr>
          <a:xfrm>
            <a:off x="5348" y="12275"/>
            <a:ext cx="1304" cy="3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Belka skrajna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3" y="12211"/>
            <a:ext cx="0" cy="42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6623" y="11176"/>
            <a:ext cx="1607" cy="121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54</xdr:row>
      <xdr:rowOff>142875</xdr:rowOff>
    </xdr:from>
    <xdr:to>
      <xdr:col>3</xdr:col>
      <xdr:colOff>28575</xdr:colOff>
      <xdr:row>55</xdr:row>
      <xdr:rowOff>123825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3209925" y="7429500"/>
          <a:ext cx="733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Podpora </a:t>
          </a:r>
        </a:p>
      </xdr:txBody>
    </xdr:sp>
    <xdr:clientData/>
  </xdr:twoCellAnchor>
  <xdr:twoCellAnchor>
    <xdr:from>
      <xdr:col>2</xdr:col>
      <xdr:colOff>581025</xdr:colOff>
      <xdr:row>54</xdr:row>
      <xdr:rowOff>123825</xdr:rowOff>
    </xdr:from>
    <xdr:to>
      <xdr:col>2</xdr:col>
      <xdr:colOff>581025</xdr:colOff>
      <xdr:row>55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3714750" y="74104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49</xdr:row>
      <xdr:rowOff>38100</xdr:rowOff>
    </xdr:from>
    <xdr:to>
      <xdr:col>3</xdr:col>
      <xdr:colOff>247650</xdr:colOff>
      <xdr:row>55</xdr:row>
      <xdr:rowOff>47625</xdr:rowOff>
    </xdr:to>
    <xdr:sp>
      <xdr:nvSpPr>
        <xdr:cNvPr id="14" name="Line 14"/>
        <xdr:cNvSpPr>
          <a:spLocks/>
        </xdr:cNvSpPr>
      </xdr:nvSpPr>
      <xdr:spPr>
        <a:xfrm flipV="1">
          <a:off x="3714750" y="6515100"/>
          <a:ext cx="447675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55</xdr:row>
      <xdr:rowOff>76200</xdr:rowOff>
    </xdr:from>
    <xdr:to>
      <xdr:col>7</xdr:col>
      <xdr:colOff>190500</xdr:colOff>
      <xdr:row>60</xdr:row>
      <xdr:rowOff>47625</xdr:rowOff>
    </xdr:to>
    <xdr:grpSp>
      <xdr:nvGrpSpPr>
        <xdr:cNvPr id="15" name="Group 15"/>
        <xdr:cNvGrpSpPr>
          <a:grpSpLocks/>
        </xdr:cNvGrpSpPr>
      </xdr:nvGrpSpPr>
      <xdr:grpSpPr>
        <a:xfrm>
          <a:off x="5076825" y="7524750"/>
          <a:ext cx="2152650" cy="790575"/>
          <a:chOff x="8423" y="11992"/>
          <a:chExt cx="3572" cy="1303"/>
        </a:xfrm>
        <a:solidFill>
          <a:srgbClr val="FFFFFF"/>
        </a:solidFill>
      </xdr:grpSpPr>
      <xdr:sp fLocksText="0">
        <xdr:nvSpPr>
          <xdr:cNvPr id="16" name="Text 16"/>
          <xdr:cNvSpPr txBox="1">
            <a:spLocks noChangeArrowheads="1"/>
          </xdr:cNvSpPr>
        </xdr:nvSpPr>
        <xdr:spPr>
          <a:xfrm>
            <a:off x="8423" y="13035"/>
            <a:ext cx="152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Belka środkowa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960" y="12980"/>
            <a:ext cx="0" cy="3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9960" y="11992"/>
            <a:ext cx="2035" cy="110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58</xdr:row>
      <xdr:rowOff>9525</xdr:rowOff>
    </xdr:from>
    <xdr:to>
      <xdr:col>4</xdr:col>
      <xdr:colOff>133350</xdr:colOff>
      <xdr:row>59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4829175" y="79533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28575</xdr:rowOff>
    </xdr:from>
    <xdr:to>
      <xdr:col>4</xdr:col>
      <xdr:colOff>428625</xdr:colOff>
      <xdr:row>59</xdr:row>
      <xdr:rowOff>142875</xdr:rowOff>
    </xdr:to>
    <xdr:sp fLocksText="0">
      <xdr:nvSpPr>
        <xdr:cNvPr id="20" name="Text 20"/>
        <xdr:cNvSpPr txBox="1">
          <a:spLocks noChangeArrowheads="1"/>
        </xdr:cNvSpPr>
      </xdr:nvSpPr>
      <xdr:spPr>
        <a:xfrm>
          <a:off x="3248025" y="7972425"/>
          <a:ext cx="1876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Łącznik segmentów + uziom
</a:t>
          </a:r>
        </a:p>
      </xdr:txBody>
    </xdr:sp>
    <xdr:clientData/>
  </xdr:twoCellAnchor>
  <xdr:twoCellAnchor>
    <xdr:from>
      <xdr:col>4</xdr:col>
      <xdr:colOff>142875</xdr:colOff>
      <xdr:row>52</xdr:row>
      <xdr:rowOff>38100</xdr:rowOff>
    </xdr:from>
    <xdr:to>
      <xdr:col>5</xdr:col>
      <xdr:colOff>619125</xdr:colOff>
      <xdr:row>58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4838700" y="7000875"/>
          <a:ext cx="1257300" cy="1028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60</xdr:row>
      <xdr:rowOff>76200</xdr:rowOff>
    </xdr:from>
    <xdr:to>
      <xdr:col>6</xdr:col>
      <xdr:colOff>485775</xdr:colOff>
      <xdr:row>62</xdr:row>
      <xdr:rowOff>28575</xdr:rowOff>
    </xdr:to>
    <xdr:sp fLocksText="0">
      <xdr:nvSpPr>
        <xdr:cNvPr id="22" name="Text 22"/>
        <xdr:cNvSpPr txBox="1">
          <a:spLocks noChangeArrowheads="1"/>
        </xdr:cNvSpPr>
      </xdr:nvSpPr>
      <xdr:spPr>
        <a:xfrm>
          <a:off x="5953125" y="8343900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Przekos
</a:t>
          </a:r>
        </a:p>
      </xdr:txBody>
    </xdr:sp>
    <xdr:clientData/>
  </xdr:twoCellAnchor>
  <xdr:twoCellAnchor>
    <xdr:from>
      <xdr:col>6</xdr:col>
      <xdr:colOff>180975</xdr:colOff>
      <xdr:row>60</xdr:row>
      <xdr:rowOff>66675</xdr:rowOff>
    </xdr:from>
    <xdr:to>
      <xdr:col>6</xdr:col>
      <xdr:colOff>180975</xdr:colOff>
      <xdr:row>61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6438900" y="83343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19050</xdr:rowOff>
    </xdr:from>
    <xdr:to>
      <xdr:col>7</xdr:col>
      <xdr:colOff>704850</xdr:colOff>
      <xdr:row>60</xdr:row>
      <xdr:rowOff>133350</xdr:rowOff>
    </xdr:to>
    <xdr:sp>
      <xdr:nvSpPr>
        <xdr:cNvPr id="24" name="Line 24"/>
        <xdr:cNvSpPr>
          <a:spLocks/>
        </xdr:cNvSpPr>
      </xdr:nvSpPr>
      <xdr:spPr>
        <a:xfrm flipV="1">
          <a:off x="6448425" y="7305675"/>
          <a:ext cx="129540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d.pl/" TargetMode="External" /><Relationship Id="rId2" Type="http://schemas.openxmlformats.org/officeDocument/2006/relationships/hyperlink" Target="mailto:tmd@tmd.pl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="90" zoomScaleNormal="90" workbookViewId="0" topLeftCell="A1">
      <selection activeCell="A1" sqref="A1"/>
    </sheetView>
  </sheetViews>
  <sheetFormatPr defaultColWidth="12.57421875" defaultRowHeight="12.75"/>
  <cols>
    <col min="1" max="1" width="35.28125" style="1" customWidth="1"/>
    <col min="2" max="11" width="11.7109375" style="1" customWidth="1"/>
    <col min="12" max="12" width="11.8515625" style="1" customWidth="1"/>
    <col min="13" max="16384" width="11.7109375" style="1" customWidth="1"/>
  </cols>
  <sheetData>
    <row r="1" spans="1:13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4">
        <f>IF(B21&lt;700,0,2)</f>
        <v>2</v>
      </c>
      <c r="L1" s="4"/>
      <c r="M1" s="5"/>
    </row>
    <row r="2" spans="1:13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8">
        <f>IF(C21&lt;700,0,2)</f>
        <v>0</v>
      </c>
      <c r="L2" s="9"/>
      <c r="M2" s="5"/>
    </row>
    <row r="3" spans="1:13" ht="12.75">
      <c r="A3" s="10" t="s">
        <v>2</v>
      </c>
      <c r="B3" s="11" t="s">
        <v>3</v>
      </c>
      <c r="C3" s="12"/>
      <c r="D3" s="12"/>
      <c r="E3" s="12"/>
      <c r="F3" s="12"/>
      <c r="G3" s="12"/>
      <c r="H3" s="13">
        <f>IF(AND(B21&gt;0,C21&gt;0),IF(D21&gt;0,8,4),0)</f>
        <v>0</v>
      </c>
      <c r="I3" s="14">
        <f>IF(B9&gt;=3,I4,I5)</f>
        <v>0</v>
      </c>
      <c r="J3" s="15"/>
      <c r="K3" s="4">
        <f>IF(D21&lt;700,0,2)</f>
        <v>0</v>
      </c>
      <c r="L3" s="8"/>
      <c r="M3" s="5"/>
    </row>
    <row r="4" spans="1:13" ht="12.75">
      <c r="A4" s="10" t="s">
        <v>4</v>
      </c>
      <c r="B4" s="16">
        <v>168</v>
      </c>
      <c r="C4" s="17" t="s">
        <v>5</v>
      </c>
      <c r="D4" s="17"/>
      <c r="E4" s="17"/>
      <c r="F4" s="17"/>
      <c r="G4" s="17"/>
      <c r="H4" s="17"/>
      <c r="I4" s="13">
        <f>IF(AND(B21&gt;0,C21&gt;0),IF(D21&gt;0,8,4),0)</f>
        <v>0</v>
      </c>
      <c r="J4" s="15"/>
      <c r="K4" s="4">
        <f>SUM(K1:K3)</f>
        <v>2</v>
      </c>
      <c r="L4" s="8"/>
      <c r="M4" s="5"/>
    </row>
    <row r="5" spans="1:13" ht="12.75">
      <c r="A5" s="10" t="s">
        <v>6</v>
      </c>
      <c r="B5" s="16">
        <v>178</v>
      </c>
      <c r="C5" s="17"/>
      <c r="D5" s="17"/>
      <c r="E5" s="17"/>
      <c r="F5" s="17"/>
      <c r="G5" s="17"/>
      <c r="H5" s="17"/>
      <c r="I5" s="13">
        <f>IF(AND(B21&gt;0,C21&gt;0),IF(D21&gt;0,4,2),0)</f>
        <v>0</v>
      </c>
      <c r="J5" s="15"/>
      <c r="K5" s="4"/>
      <c r="L5" s="8"/>
      <c r="M5" s="5"/>
    </row>
    <row r="6" spans="1:13" ht="12.75">
      <c r="A6" s="10" t="s">
        <v>7</v>
      </c>
      <c r="B6" s="16">
        <v>115</v>
      </c>
      <c r="C6" s="17"/>
      <c r="D6" s="17"/>
      <c r="E6" s="17"/>
      <c r="F6" s="17"/>
      <c r="G6" s="17"/>
      <c r="H6" s="17"/>
      <c r="I6" s="13">
        <f>IF(OR(B9=2,B9=3),(B29+B32)*2,IF(B9=4,(B32/2),0))</f>
        <v>4</v>
      </c>
      <c r="J6" s="15"/>
      <c r="K6" s="4"/>
      <c r="L6" s="8"/>
      <c r="M6" s="5"/>
    </row>
    <row r="7" spans="1:13" ht="12.75">
      <c r="A7" s="10" t="s">
        <v>8</v>
      </c>
      <c r="B7" s="16">
        <v>10</v>
      </c>
      <c r="C7" s="17"/>
      <c r="D7" s="17"/>
      <c r="E7" s="17"/>
      <c r="F7" s="17"/>
      <c r="G7" s="17"/>
      <c r="H7" s="17"/>
      <c r="I7" s="13">
        <f>IF(B9=3,2,0)</f>
        <v>0</v>
      </c>
      <c r="J7" s="15"/>
      <c r="K7" s="4"/>
      <c r="L7" s="8"/>
      <c r="M7" s="5"/>
    </row>
    <row r="8" spans="1:13" ht="12.75">
      <c r="A8" s="10" t="s">
        <v>9</v>
      </c>
      <c r="B8" s="16">
        <v>20</v>
      </c>
      <c r="C8" s="17"/>
      <c r="D8" s="17"/>
      <c r="E8" s="17"/>
      <c r="F8" s="17"/>
      <c r="G8" s="17"/>
      <c r="H8" s="17"/>
      <c r="I8" s="13">
        <f>IF(B9=4,2,0)</f>
        <v>0</v>
      </c>
      <c r="J8" s="15"/>
      <c r="K8" s="5"/>
      <c r="L8" s="18"/>
      <c r="M8" s="5"/>
    </row>
    <row r="9" spans="1:15" ht="12.75">
      <c r="A9" s="10" t="s">
        <v>10</v>
      </c>
      <c r="B9" s="16">
        <v>2</v>
      </c>
      <c r="C9" s="17"/>
      <c r="D9" s="17"/>
      <c r="E9" s="17"/>
      <c r="F9" s="17"/>
      <c r="G9" s="17"/>
      <c r="H9" s="17"/>
      <c r="I9" s="13"/>
      <c r="J9" s="15"/>
      <c r="K9" s="5"/>
      <c r="L9" s="18"/>
      <c r="M9" s="4">
        <v>500</v>
      </c>
      <c r="N9" s="4">
        <v>700</v>
      </c>
      <c r="O9" s="4">
        <v>1000</v>
      </c>
    </row>
    <row r="10" spans="1:15" ht="12.75" customHeight="1">
      <c r="A10" s="19" t="s">
        <v>11</v>
      </c>
      <c r="B10" s="20">
        <f>SUM(M10:O10)</f>
        <v>1000</v>
      </c>
      <c r="C10" s="21" t="s">
        <v>12</v>
      </c>
      <c r="D10" s="21"/>
      <c r="E10" s="21"/>
      <c r="F10" s="22">
        <f>IF(OR(B10=1000,B10=700,B10=500,B10=0),"","Wstaw wartość 1000 lub 700 lub 500")</f>
      </c>
      <c r="G10" s="22"/>
      <c r="H10" s="22"/>
      <c r="I10" s="13">
        <f>IF(OR(B10=1000,B10=700,B10=500,B10=0),"",1)</f>
      </c>
      <c r="J10" s="3"/>
      <c r="L10" s="23"/>
      <c r="M10" s="4">
        <f>IF(AND(B17&gt;=0,B17&lt;=500),500,IF(AND(B17&gt;=1001,B17&lt;=1200),500,IF(AND(B17&gt;=1401,B17&lt;=1500),500,IF(AND(B17&gt;=2101,B17&lt;=2200),500,IF(AND(B17&gt;=2401,B17&lt;=2500),500,0)))))</f>
        <v>0</v>
      </c>
      <c r="N10" s="4">
        <f>IF(AND(B17&gt;=501,B17&lt;=700),700,IF(AND(B17&gt;=1201,B17&lt;=1400),700,IF(AND(B17&gt;=1501,B17&lt;=1700),700,IF(AND(B17&gt;=2001,B17&lt;=2100),700,IF(AND(B17&gt;=2201,B17&lt;=2400),700,IF(AND(B17&gt;=2501,B17&lt;=2700),700,0))))))</f>
        <v>0</v>
      </c>
      <c r="O10" s="4">
        <f>IF(AND(B17&gt;=701,B17&lt;=1000),1000,IF(AND(B17&gt;=1701,B17&lt;=2000),1000,IF(AND(B17&gt;=2701,B17&lt;=3000),1000,0)))</f>
        <v>1000</v>
      </c>
    </row>
    <row r="11" spans="1:15" ht="12.75">
      <c r="A11" s="19" t="s">
        <v>13</v>
      </c>
      <c r="B11" s="20">
        <f>SUM(M11:O11)</f>
        <v>0</v>
      </c>
      <c r="C11" s="21"/>
      <c r="D11" s="21"/>
      <c r="E11" s="21"/>
      <c r="F11" s="22">
        <f>IF(OR(B11=1000,B11=700,B11=500,B11=0),"","Wstaw wartość 1000 lub 700 lub 500")</f>
      </c>
      <c r="G11" s="22"/>
      <c r="H11" s="22"/>
      <c r="I11" s="13">
        <f>IF(OR(B11=1000,B11=700,B11=500,B11=0),"",1)</f>
      </c>
      <c r="J11" s="3"/>
      <c r="L11" s="23"/>
      <c r="M11" s="4">
        <v>0</v>
      </c>
      <c r="N11" s="4">
        <f>IF(AND(B17&gt;=1001,B17&lt;=1400),700,IF(AND(B17&gt;=2001,B17&lt;=2400),700,0))</f>
        <v>0</v>
      </c>
      <c r="O11" s="4">
        <f>IF(AND(B17&gt;=1401,B17&lt;=2000),1000,IF(AND(B17&gt;=2401,B17&lt;=3000),1000,0))</f>
        <v>0</v>
      </c>
    </row>
    <row r="12" spans="1:15" ht="12.75">
      <c r="A12" s="19" t="s">
        <v>14</v>
      </c>
      <c r="B12" s="20">
        <f>SUM(M12:O12)</f>
        <v>0</v>
      </c>
      <c r="C12" s="21"/>
      <c r="D12" s="21"/>
      <c r="E12" s="21"/>
      <c r="F12" s="22">
        <f>IF(OR(B12=1000,B12=700,B12=500,B12=0),"","Wstaw wartość 1000 lub 700 lub 500")</f>
      </c>
      <c r="G12" s="22"/>
      <c r="H12" s="22"/>
      <c r="I12" s="13">
        <f>IF(OR(B12=1000,B12=700,B12=500,B12=0),"",1)</f>
      </c>
      <c r="J12" s="3"/>
      <c r="L12" s="23"/>
      <c r="M12" s="4"/>
      <c r="N12" s="4">
        <f>IF(AND(B17&gt;=2001,B17&lt;=2100),700,0)</f>
        <v>0</v>
      </c>
      <c r="O12" s="4">
        <f>IF(AND(B17&gt;=2101,B17&lt;=3000),1000,0)</f>
        <v>0</v>
      </c>
    </row>
    <row r="13" spans="1:12" ht="12.75">
      <c r="A13" s="24" t="s">
        <v>15</v>
      </c>
      <c r="B13" s="25">
        <f>IF(B9=2,520,IF(B9=3,940,IF(B9=4,1360,0)))</f>
        <v>520</v>
      </c>
      <c r="C13" s="21"/>
      <c r="D13" s="21"/>
      <c r="E13" s="21"/>
      <c r="F13" s="26" t="s">
        <v>16</v>
      </c>
      <c r="G13" s="26"/>
      <c r="H13" s="27" t="s">
        <v>17</v>
      </c>
      <c r="I13" s="13">
        <f>SUM(I10:I12)</f>
        <v>0</v>
      </c>
      <c r="J13" s="3"/>
      <c r="L13" s="23"/>
    </row>
    <row r="14" spans="1:12" ht="12.75">
      <c r="A14" s="12" t="s">
        <v>18</v>
      </c>
      <c r="B14" s="28">
        <f>IF(OR(B4=1,B5=1,B6=1),0,(ROUNDUP((ROUNDUP(B8/B9,0))/B16,0)))</f>
        <v>5</v>
      </c>
      <c r="C14" s="12"/>
      <c r="D14" s="12"/>
      <c r="E14" s="12"/>
      <c r="F14" s="29"/>
      <c r="G14" s="30" t="s">
        <v>19</v>
      </c>
      <c r="H14" s="27">
        <f>B18</f>
        <v>1000</v>
      </c>
      <c r="I14" s="13">
        <f>SUM(I10:I12)</f>
        <v>0</v>
      </c>
      <c r="J14" s="3"/>
      <c r="L14" s="23"/>
    </row>
    <row r="15" spans="1:12" ht="12.75">
      <c r="A15" s="31" t="s">
        <v>20</v>
      </c>
      <c r="B15" s="32">
        <f>IF(OR(B4=1,B5=1,B6=1),0,((FLOOR((SUM(B21:D21)/(B5+B7)),1))*B9*B16))</f>
        <v>20</v>
      </c>
      <c r="C15" s="12"/>
      <c r="D15"/>
      <c r="E15" s="12"/>
      <c r="F15" s="33"/>
      <c r="G15" s="34" t="s">
        <v>21</v>
      </c>
      <c r="H15" s="35">
        <v>600</v>
      </c>
      <c r="I15" s="36"/>
      <c r="J15" s="36"/>
      <c r="L15" s="23"/>
    </row>
    <row r="16" spans="1:12" ht="12.75">
      <c r="A16" s="31" t="s">
        <v>22</v>
      </c>
      <c r="B16" s="28">
        <f>IF(OR(B4=1,B5=1,B6=1),0,(ROUNDDOWN(540/(B4+18),0)))</f>
        <v>2</v>
      </c>
      <c r="C16" s="12"/>
      <c r="D16" s="37" t="s">
        <v>23</v>
      </c>
      <c r="E16" s="38">
        <f>B50</f>
        <v>390</v>
      </c>
      <c r="F16" s="39"/>
      <c r="G16" s="34" t="s">
        <v>24</v>
      </c>
      <c r="H16" s="35">
        <f>B13</f>
        <v>520</v>
      </c>
      <c r="I16" s="36"/>
      <c r="J16" s="3"/>
      <c r="L16" s="23"/>
    </row>
    <row r="17" spans="1:12" ht="12.75">
      <c r="A17" s="12" t="s">
        <v>25</v>
      </c>
      <c r="B17" s="40">
        <f>(B5+B7)*B14</f>
        <v>940</v>
      </c>
      <c r="C17" s="41">
        <f>IF(B17&gt;3000,"Zw. Ilość półek lub zm. ilość baterii !!!","")</f>
      </c>
      <c r="D17" s="41"/>
      <c r="E17" s="41"/>
      <c r="F17" s="42"/>
      <c r="G17" s="43"/>
      <c r="H17" s="43"/>
      <c r="I17" s="43"/>
      <c r="J17" s="3"/>
      <c r="L17" s="23"/>
    </row>
    <row r="18" spans="1:12" ht="12.75">
      <c r="A18" s="31" t="s">
        <v>26</v>
      </c>
      <c r="B18" s="44">
        <f>IF(OR(B4=1,B5=1,B6=1),0,(SUM(B21:D21)))</f>
        <v>1000</v>
      </c>
      <c r="C18" s="45" t="s">
        <v>27</v>
      </c>
      <c r="D18"/>
      <c r="E18" s="12"/>
      <c r="F18" s="42"/>
      <c r="G18" s="46"/>
      <c r="H18" s="47" t="s">
        <v>28</v>
      </c>
      <c r="I18" s="46"/>
      <c r="J18" s="3"/>
      <c r="L18" s="23"/>
    </row>
    <row r="19" spans="1:12" ht="12.75">
      <c r="A19" s="12"/>
      <c r="B19" s="12"/>
      <c r="C19" s="12"/>
      <c r="D19" s="12"/>
      <c r="E19" s="12"/>
      <c r="F19" s="36" t="s">
        <v>29</v>
      </c>
      <c r="G19" s="36"/>
      <c r="H19" s="36"/>
      <c r="I19" s="36"/>
      <c r="J19" s="36"/>
      <c r="L19" s="23"/>
    </row>
    <row r="20" spans="1:12" ht="12.75">
      <c r="A20" s="48"/>
      <c r="B20" s="49" t="s">
        <v>30</v>
      </c>
      <c r="C20" s="49" t="s">
        <v>31</v>
      </c>
      <c r="D20" s="49" t="s">
        <v>32</v>
      </c>
      <c r="E20" s="12"/>
      <c r="F20" s="42" t="s">
        <v>33</v>
      </c>
      <c r="G20" s="50"/>
      <c r="H20" s="50"/>
      <c r="I20" s="50"/>
      <c r="J20" s="3"/>
      <c r="L20" s="23"/>
    </row>
    <row r="21" spans="1:12" ht="12.75">
      <c r="A21" s="51" t="s">
        <v>34</v>
      </c>
      <c r="B21" s="52">
        <f>IF(B10=1000,1000,IF(B10=700,700,IF(B10=500,500,0)))</f>
        <v>1000</v>
      </c>
      <c r="C21" s="52">
        <f>IF(B11=1000,1000,IF(B11=700,700,IF(B11=500,500,0)))</f>
        <v>0</v>
      </c>
      <c r="D21" s="52">
        <f>IF(B12=1000,1000,IF(B12=700,700,IF(B12=500,500,0)))</f>
        <v>0</v>
      </c>
      <c r="E21" s="12"/>
      <c r="F21" s="53" t="s">
        <v>35</v>
      </c>
      <c r="G21" s="36"/>
      <c r="H21" s="36"/>
      <c r="I21" s="42"/>
      <c r="J21" s="3"/>
      <c r="L21" s="23"/>
    </row>
    <row r="22" spans="1:12" ht="12.75">
      <c r="A22" s="48"/>
      <c r="B22" s="51"/>
      <c r="C22" s="48"/>
      <c r="D22" s="48"/>
      <c r="E22" s="12"/>
      <c r="F22" s="53" t="s">
        <v>36</v>
      </c>
      <c r="G22" s="54"/>
      <c r="H22" s="54"/>
      <c r="I22" s="50"/>
      <c r="J22" s="3"/>
      <c r="L22" s="23"/>
    </row>
    <row r="23" spans="1:12" ht="12.75">
      <c r="A23" s="51" t="s">
        <v>37</v>
      </c>
      <c r="B23" s="51">
        <f>IF(B$10=1000,2*$B$9,IF(B$10=700,2*$B$9,IF(B$10=500,2*$B$9,0)))</f>
        <v>4</v>
      </c>
      <c r="C23" s="48">
        <f>IF(B$11=1000,2*$B$9,IF(B$11=700,2*$B$9,IF(B$11=500,2*$B$9,0)))</f>
        <v>0</v>
      </c>
      <c r="D23" s="48">
        <f>IF(B$12=1000,2*$B$9,IF(B$12=700,2*$B$9,IF(B$12=500,2*$B$9,0)))</f>
        <v>0</v>
      </c>
      <c r="E23" s="12"/>
      <c r="F23" s="42" t="s">
        <v>38</v>
      </c>
      <c r="G23" s="50"/>
      <c r="H23" s="50"/>
      <c r="I23" s="50"/>
      <c r="J23" s="3"/>
      <c r="L23" s="23"/>
    </row>
    <row r="24" spans="1:12" ht="12.75" hidden="1">
      <c r="A24" s="51" t="s">
        <v>39</v>
      </c>
      <c r="B24" s="55">
        <f>IF(B$10=1000,2*'cena materiału'!F10*$B$9,IF(B$10=700,2*'cena materiału'!F9*$B$9,IF(B$10=500,2*'cena materiału'!F8*$B$9,0)))</f>
        <v>158</v>
      </c>
      <c r="C24" s="55">
        <f>IF(B$11=1000,2*'cena materiału'!F10*$B$9,IF(B$11=700,2*'cena materiału'!F9*$B$9,IF(B$11=500,2*'cena materiału'!F8*$B$9,0)))</f>
        <v>0</v>
      </c>
      <c r="D24" s="55">
        <f>IF(B$12=1000,2*'cena materiału'!F10*$B$9,IF(B$12=700,2*'cena materiału'!F9*$B$9,IF(B$12=500,2*'cena materiału'!F8*$B$9,0)))</f>
        <v>0</v>
      </c>
      <c r="E24" s="12"/>
      <c r="F24" s="56" t="s">
        <v>40</v>
      </c>
      <c r="G24" s="12"/>
      <c r="H24" s="12"/>
      <c r="I24" s="12"/>
      <c r="J24" s="3"/>
      <c r="L24" s="23"/>
    </row>
    <row r="25" spans="1:12" ht="12.75">
      <c r="A25" s="48"/>
      <c r="B25" s="55"/>
      <c r="C25" s="55"/>
      <c r="D25" s="55"/>
      <c r="E25" s="12"/>
      <c r="F25" s="42" t="s">
        <v>41</v>
      </c>
      <c r="G25" s="12"/>
      <c r="H25" s="12"/>
      <c r="I25" s="12"/>
      <c r="J25" s="3"/>
      <c r="L25" s="23"/>
    </row>
    <row r="26" spans="1:12" ht="12.75">
      <c r="A26" s="51" t="s">
        <v>42</v>
      </c>
      <c r="B26" s="51">
        <f>IF(B16&gt;1,IF(B23&gt;0,(B16-1)*2*B9,0),0)</f>
        <v>4</v>
      </c>
      <c r="C26" s="48">
        <f>IF(B16&gt;1,IF(C23&gt;0,(B16-1)*2*B9,0),0)</f>
        <v>0</v>
      </c>
      <c r="D26" s="48">
        <f>IF(B16&gt;1,IF(D23&gt;0,(B16-1)*2*B9,0),0)</f>
        <v>0</v>
      </c>
      <c r="E26" s="12"/>
      <c r="F26" s="57" t="s">
        <v>43</v>
      </c>
      <c r="G26" s="12"/>
      <c r="H26" s="12"/>
      <c r="I26" s="12"/>
      <c r="J26" s="3"/>
      <c r="L26" s="23"/>
    </row>
    <row r="27" spans="1:12" ht="12.75" hidden="1">
      <c r="A27" s="51" t="s">
        <v>44</v>
      </c>
      <c r="B27" s="55">
        <f>IF(B$10=1000,($B$16-1)*'cena materiału'!F13*$B$9,IF(B$10=700,($B$16-1)*'cena materiału'!F12*$B$9,IF(B$10=500,($B$16-1)*'cena materiału'!F11*$B$9,0)))</f>
        <v>79</v>
      </c>
      <c r="C27" s="55">
        <f>IF(B$11=1000,($B$16-1)*'cena materiału'!F13*$B$9,IF(B$11=700,($B$16-1)*'cena materiału'!F12*$B$9,IF(B$11=500,($B$16-1)*'cena materiału'!F11*$B$9,0)))</f>
        <v>0</v>
      </c>
      <c r="D27" s="55">
        <f>IF(B$12=1000,($B$16-1)*'cena materiału'!F13*$B$9,IF(B$12=700,($B$16-1)*'cena materiału'!F12*$B$9,IF(B$12=500,($B$16-1)*'cena materiału'!F11*$B$9,0)))</f>
        <v>0</v>
      </c>
      <c r="E27" s="12"/>
      <c r="F27" s="45"/>
      <c r="G27" s="12"/>
      <c r="H27" s="12"/>
      <c r="I27" s="12"/>
      <c r="J27" s="3"/>
      <c r="L27" s="23"/>
    </row>
    <row r="28" spans="1:12" ht="12.75">
      <c r="A28" s="12"/>
      <c r="B28" s="12"/>
      <c r="C28" s="12"/>
      <c r="D28" s="12"/>
      <c r="E28" s="12"/>
      <c r="F28" s="58"/>
      <c r="G28" s="12"/>
      <c r="H28" s="12"/>
      <c r="I28" s="12"/>
      <c r="J28" s="3"/>
      <c r="L28" s="23"/>
    </row>
    <row r="29" spans="1:12" ht="12.75">
      <c r="A29" s="51" t="s">
        <v>45</v>
      </c>
      <c r="B29" s="51">
        <f>IF(AND($B$10&gt;0,$B$11=0,$B$12=0,B9=3),2,IF(AND($B$10&gt;0,$B$11&gt;0,$B$12=0,B9=3),4,IF(AND($B$10&gt;0,$B$11&gt;0,$B$12&gt;0,B9=3),6,0)))</f>
        <v>0</v>
      </c>
      <c r="C29" s="12"/>
      <c r="D29" s="12"/>
      <c r="E29" s="12"/>
      <c r="F29" s="45"/>
      <c r="G29" s="12"/>
      <c r="H29" s="12"/>
      <c r="I29" s="12"/>
      <c r="J29" s="3"/>
      <c r="L29" s="23"/>
    </row>
    <row r="30" spans="1:12" ht="12.75" hidden="1">
      <c r="A30" s="51" t="s">
        <v>46</v>
      </c>
      <c r="B30" s="55">
        <f>B29*'cena materiału'!F6</f>
        <v>0</v>
      </c>
      <c r="C30" s="12"/>
      <c r="D30" s="12"/>
      <c r="E30" s="12"/>
      <c r="F30" s="12"/>
      <c r="G30" s="12"/>
      <c r="H30" s="12"/>
      <c r="I30" s="12"/>
      <c r="J30" s="3"/>
      <c r="L30" s="23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3"/>
      <c r="L31" s="23"/>
    </row>
    <row r="32" spans="1:15" ht="12.75">
      <c r="A32" s="51" t="s">
        <v>47</v>
      </c>
      <c r="B32" s="51">
        <f>IF(AND($B$10&gt;0,$B$11=0,$B$12=0,B9=2),2,IF(AND($B$10&gt;0,$B$11&gt;0,$B$12=0,B9=2),4,IF(AND($B$10&gt;0,$B$11&gt;0,$B$12&gt;0,B9=2),6,IF(AND($B$10&gt;0,$B$11=0,$B$12=0,B9=4),4,IF(AND($B$10&gt;0,$B$11&gt;0,$B$12=0,B9=4),8,IF(AND($B$10&gt;0,$B$11&gt;0,$B$12&gt;0,B9=4),12,0))))))</f>
        <v>2</v>
      </c>
      <c r="C32" s="12"/>
      <c r="D32" s="12"/>
      <c r="E32" s="12"/>
      <c r="F32" s="12"/>
      <c r="G32" s="12"/>
      <c r="H32" s="12"/>
      <c r="I32" s="12"/>
      <c r="J32" s="3"/>
      <c r="N32" s="4"/>
      <c r="O32" s="4"/>
    </row>
    <row r="33" spans="1:15" ht="12.75" hidden="1">
      <c r="A33" s="51" t="s">
        <v>48</v>
      </c>
      <c r="B33" s="55">
        <f>B32*'cena materiału'!F4</f>
        <v>118</v>
      </c>
      <c r="C33" s="12"/>
      <c r="D33" s="12"/>
      <c r="E33" s="12"/>
      <c r="F33" s="12"/>
      <c r="G33" s="12"/>
      <c r="H33" s="12"/>
      <c r="I33" s="12"/>
      <c r="J33" s="3"/>
      <c r="N33" s="4"/>
      <c r="O33" s="4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3"/>
      <c r="N34" s="4"/>
      <c r="O34" s="4"/>
    </row>
    <row r="35" spans="1:15" ht="12.75">
      <c r="A35" s="51" t="s">
        <v>49</v>
      </c>
      <c r="B35" s="51">
        <f>IF(OR(B9=2,B9=3),(B29+B32)*2,IF(B9=4,(B32),0))</f>
        <v>4</v>
      </c>
      <c r="C35" s="12"/>
      <c r="D35" s="12"/>
      <c r="E35" s="12"/>
      <c r="F35" s="12"/>
      <c r="G35" s="12"/>
      <c r="H35" s="12"/>
      <c r="I35" s="12"/>
      <c r="J35" s="3"/>
      <c r="N35" s="4"/>
      <c r="O35" s="4"/>
    </row>
    <row r="36" spans="1:15" ht="12.75" hidden="1">
      <c r="A36" s="51" t="s">
        <v>50</v>
      </c>
      <c r="B36" s="55">
        <f>B35*'cena materiału'!F14+B35*1.5</f>
        <v>18</v>
      </c>
      <c r="C36" s="12"/>
      <c r="D36" s="12"/>
      <c r="E36" s="12"/>
      <c r="F36" s="12"/>
      <c r="G36" s="12"/>
      <c r="H36" s="12"/>
      <c r="I36" s="12"/>
      <c r="J36" s="3"/>
      <c r="N36" s="4"/>
      <c r="O36" s="4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3"/>
      <c r="N37" s="4"/>
      <c r="O37" s="4" t="s">
        <v>51</v>
      </c>
    </row>
    <row r="38" spans="1:15" ht="12.75">
      <c r="A38" s="51" t="s">
        <v>52</v>
      </c>
      <c r="B38" s="51">
        <f>IF(B9=4,(B32),0)</f>
        <v>0</v>
      </c>
      <c r="C38" s="12"/>
      <c r="D38" s="12"/>
      <c r="E38" s="12"/>
      <c r="F38" s="12"/>
      <c r="G38" s="12"/>
      <c r="H38" s="12"/>
      <c r="I38" s="12"/>
      <c r="J38" s="3"/>
      <c r="N38" s="4"/>
      <c r="O38" s="4"/>
    </row>
    <row r="39" spans="1:15" ht="12.75" hidden="1">
      <c r="A39" s="51" t="s">
        <v>53</v>
      </c>
      <c r="B39" s="55">
        <f>IF(B38&gt;0,B38*'cena materiału'!F15,0)</f>
        <v>0</v>
      </c>
      <c r="C39" s="12"/>
      <c r="D39" s="12"/>
      <c r="E39" s="12"/>
      <c r="F39" s="12"/>
      <c r="G39" s="12"/>
      <c r="H39" s="12"/>
      <c r="I39" s="12"/>
      <c r="J39" s="3"/>
      <c r="N39" s="4"/>
      <c r="O39" s="4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3"/>
      <c r="N40" s="4"/>
      <c r="O40" s="4"/>
    </row>
    <row r="41" spans="1:10" s="4" customFormat="1" ht="12.75">
      <c r="A41" s="59" t="s">
        <v>54</v>
      </c>
      <c r="B41" s="59">
        <f>I3</f>
        <v>0</v>
      </c>
      <c r="C41" s="29"/>
      <c r="D41" s="29"/>
      <c r="E41" s="29"/>
      <c r="F41" s="29"/>
      <c r="G41" s="29"/>
      <c r="H41" s="29"/>
      <c r="I41" s="29"/>
      <c r="J41" s="39"/>
    </row>
    <row r="42" spans="1:10" s="4" customFormat="1" ht="12.75" hidden="1">
      <c r="A42" s="59" t="s">
        <v>55</v>
      </c>
      <c r="B42" s="60">
        <f>IF(B41=0,0,B41*'cena materiału'!F16)</f>
        <v>0</v>
      </c>
      <c r="C42" s="29"/>
      <c r="D42" s="29"/>
      <c r="E42" s="29"/>
      <c r="F42" s="29"/>
      <c r="G42" s="29"/>
      <c r="H42" s="29"/>
      <c r="I42" s="29"/>
      <c r="J42" s="39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3"/>
    </row>
    <row r="44" spans="1:10" ht="12.75">
      <c r="A44" s="51" t="s">
        <v>56</v>
      </c>
      <c r="B44" s="51">
        <f>IF(OR(B9=2,B9=3),(B29+B32)*2,IF(B9=4,(B32),0))</f>
        <v>4</v>
      </c>
      <c r="C44" s="12"/>
      <c r="D44" s="12"/>
      <c r="E44" s="12"/>
      <c r="F44" s="12"/>
      <c r="G44" s="12"/>
      <c r="H44" s="12"/>
      <c r="I44" s="12"/>
      <c r="J44" s="3"/>
    </row>
    <row r="45" spans="1:10" ht="12.75" hidden="1">
      <c r="A45" s="51" t="s">
        <v>57</v>
      </c>
      <c r="B45" s="55">
        <f>IF(B44=0,0,B44*'cena materiału'!F17)</f>
        <v>7</v>
      </c>
      <c r="C45" s="12"/>
      <c r="D45" s="12"/>
      <c r="E45" s="12"/>
      <c r="F45" s="12"/>
      <c r="G45" s="12"/>
      <c r="H45" s="12"/>
      <c r="I45" s="12"/>
      <c r="J45" s="3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3"/>
    </row>
    <row r="47" spans="1:10" ht="12.75">
      <c r="A47" s="51" t="s">
        <v>58</v>
      </c>
      <c r="B47" s="51">
        <f>IF(AND(B9&gt;=3,OR(B21&gt;=700,C21&gt;=700,D21&gt;=700)),K4,0)</f>
        <v>0</v>
      </c>
      <c r="C47" s="12"/>
      <c r="D47" s="12"/>
      <c r="E47" s="12"/>
      <c r="F47" s="12"/>
      <c r="G47" s="12"/>
      <c r="H47" s="12"/>
      <c r="I47" s="12"/>
      <c r="J47" s="3"/>
    </row>
    <row r="48" spans="1:10" ht="12.75" hidden="1">
      <c r="A48" s="51" t="s">
        <v>59</v>
      </c>
      <c r="B48" s="55">
        <f>IF(B47=0,0,B47*'cena materiału'!F18)</f>
        <v>0</v>
      </c>
      <c r="C48" s="12"/>
      <c r="D48" s="12"/>
      <c r="E48" s="12"/>
      <c r="F48" s="12"/>
      <c r="G48" s="12"/>
      <c r="H48" s="12"/>
      <c r="I48" s="12"/>
      <c r="J48" s="3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3"/>
    </row>
    <row r="50" spans="1:10" ht="12.75">
      <c r="A50" s="52" t="s">
        <v>60</v>
      </c>
      <c r="B50" s="61">
        <f>CEILING((B24+C24+D24+B27+C27+D27+B30+B33+B36+B39+B42+B45+B48+'Lista materiałowa'!E44*0.21+'Lista materiałowa'!E56*3.5),10)</f>
        <v>390</v>
      </c>
      <c r="C50"/>
      <c r="D50"/>
      <c r="E50"/>
      <c r="F50"/>
      <c r="G50"/>
      <c r="H50"/>
      <c r="I50" s="12"/>
      <c r="J50" s="3"/>
    </row>
    <row r="51" spans="1:10" ht="12.75">
      <c r="A51" s="62"/>
      <c r="B51" s="63"/>
      <c r="C51"/>
      <c r="D51"/>
      <c r="E51"/>
      <c r="F51"/>
      <c r="G51"/>
      <c r="H51"/>
      <c r="I51" s="12"/>
      <c r="J51" s="3"/>
    </row>
    <row r="52" spans="1:10" ht="12.75">
      <c r="A52" s="62"/>
      <c r="B52" s="63"/>
      <c r="C52"/>
      <c r="D52"/>
      <c r="E52"/>
      <c r="F52"/>
      <c r="G52"/>
      <c r="H52"/>
      <c r="I52" s="12"/>
      <c r="J52" s="3"/>
    </row>
    <row r="53" spans="1:10" ht="12.75">
      <c r="A53" s="12"/>
      <c r="B53" s="12"/>
      <c r="C53"/>
      <c r="D53"/>
      <c r="E53"/>
      <c r="F53"/>
      <c r="G53"/>
      <c r="H53"/>
      <c r="I53" s="12"/>
      <c r="J53" s="3"/>
    </row>
    <row r="54" spans="1:10" ht="12.75">
      <c r="A54" s="64" t="s">
        <v>61</v>
      </c>
      <c r="B54" s="64"/>
      <c r="C54"/>
      <c r="D54"/>
      <c r="E54"/>
      <c r="F54"/>
      <c r="G54"/>
      <c r="H54"/>
      <c r="I54" s="3"/>
      <c r="J54" s="3"/>
    </row>
    <row r="55" spans="1:10" ht="12.75">
      <c r="A55" s="33" t="s">
        <v>62</v>
      </c>
      <c r="B55" s="33"/>
      <c r="C55"/>
      <c r="D55"/>
      <c r="E55"/>
      <c r="F55"/>
      <c r="G55"/>
      <c r="H55"/>
      <c r="I55" s="3"/>
      <c r="J55" s="3"/>
    </row>
    <row r="56" spans="1:10" ht="12.75">
      <c r="A56" s="65" t="s">
        <v>63</v>
      </c>
      <c r="B56" s="65"/>
      <c r="C56"/>
      <c r="D56"/>
      <c r="E56"/>
      <c r="F56"/>
      <c r="G56"/>
      <c r="H56"/>
      <c r="I56" s="3"/>
      <c r="J56" s="3"/>
    </row>
    <row r="57" spans="1:10" ht="12.75">
      <c r="A57" s="65" t="s">
        <v>64</v>
      </c>
      <c r="B57" s="65"/>
      <c r="C57"/>
      <c r="D57"/>
      <c r="E57"/>
      <c r="F57"/>
      <c r="G57"/>
      <c r="H57"/>
      <c r="I57" s="3"/>
      <c r="J57" s="3"/>
    </row>
    <row r="58" spans="1:10" ht="13.5">
      <c r="A58" s="66" t="s">
        <v>65</v>
      </c>
      <c r="B58" s="66"/>
      <c r="C58"/>
      <c r="D58"/>
      <c r="E58"/>
      <c r="F58"/>
      <c r="G58"/>
      <c r="H58"/>
      <c r="I58" s="3"/>
      <c r="J58" s="3"/>
    </row>
    <row r="59" spans="1:10" ht="12.75">
      <c r="A59" s="65" t="s">
        <v>66</v>
      </c>
      <c r="B59" s="65"/>
      <c r="C59"/>
      <c r="D59"/>
      <c r="E59"/>
      <c r="F59"/>
      <c r="G59"/>
      <c r="H59"/>
      <c r="I59" s="3"/>
      <c r="J59" s="3"/>
    </row>
    <row r="60" spans="1:10" ht="12.75">
      <c r="A60" s="67" t="s">
        <v>67</v>
      </c>
      <c r="B60" s="67"/>
      <c r="C60"/>
      <c r="D60"/>
      <c r="E60"/>
      <c r="F60"/>
      <c r="G60"/>
      <c r="H60"/>
      <c r="I60" s="3"/>
      <c r="J60" s="3"/>
    </row>
    <row r="61" spans="1:10" ht="12.75">
      <c r="A61"/>
      <c r="B61" s="68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68"/>
      <c r="C62" s="3"/>
      <c r="D62" s="3"/>
      <c r="E62" s="3"/>
      <c r="F62" s="3"/>
      <c r="G62" s="3"/>
      <c r="H62" s="3"/>
      <c r="I62" s="3"/>
      <c r="J62" s="3"/>
    </row>
    <row r="63" ht="12.75">
      <c r="B63" s="69"/>
    </row>
  </sheetData>
  <sheetProtection sheet="1"/>
  <mergeCells count="17">
    <mergeCell ref="A1:I1"/>
    <mergeCell ref="A2:I2"/>
    <mergeCell ref="C4:H9"/>
    <mergeCell ref="C10:E12"/>
    <mergeCell ref="F10:H10"/>
    <mergeCell ref="F11:H11"/>
    <mergeCell ref="F12:H12"/>
    <mergeCell ref="F13:G13"/>
    <mergeCell ref="C17:E17"/>
    <mergeCell ref="F19:J19"/>
    <mergeCell ref="A54:B54"/>
    <mergeCell ref="A55:B55"/>
    <mergeCell ref="A56:B56"/>
    <mergeCell ref="A57:B57"/>
    <mergeCell ref="A58:B58"/>
    <mergeCell ref="A59:B59"/>
    <mergeCell ref="A60:B60"/>
  </mergeCells>
  <conditionalFormatting sqref="C4">
    <cfRule type="expression" priority="1" dxfId="0" stopIfTrue="1">
      <formula>Stojak!$I13&gt;=1</formula>
    </cfRule>
    <cfRule type="expression" priority="2" dxfId="0" stopIfTrue="1">
      <formula>Stojak!$B17&gt;Stojak!$B18</formula>
    </cfRule>
  </conditionalFormatting>
  <conditionalFormatting sqref="C10">
    <cfRule type="expression" priority="3" dxfId="0" stopIfTrue="1">
      <formula>Stojak!$B17&gt;Stojak!$B18</formula>
    </cfRule>
  </conditionalFormatting>
  <dataValidations count="11">
    <dataValidation operator="equal" allowBlank="1" errorTitle="Długość baterii" error="Maksymalna długość baterii 522mm" sqref="B3">
      <formula1>0</formula1>
    </dataValidation>
    <dataValidation type="whole" allowBlank="1" showErrorMessage="1" errorTitle="Długość baterii" error="Maksymalna długość baterii 522mm" sqref="B4">
      <formula1>1</formula1>
      <formula2>522</formula2>
    </dataValidation>
    <dataValidation type="whole" operator="greaterThan" allowBlank="1" showErrorMessage="1" errorTitle="Szerokość baterii" error="Wstaw wartość wiekszą od 0" sqref="B5">
      <formula1>0</formula1>
    </dataValidation>
    <dataValidation type="whole" allowBlank="1" showErrorMessage="1" errorTitle="Wysokość baterii" error="Maksymalna wysokość może wynosić 300mm" sqref="B6">
      <formula1>1</formula1>
      <formula2>300</formula2>
    </dataValidation>
    <dataValidation type="whole" allowBlank="1" showErrorMessage="1" errorTitle="Odstęp" error="Wstaw wartość między 0 a 100" sqref="B7">
      <formula1>0</formula1>
      <formula2>100</formula2>
    </dataValidation>
    <dataValidation type="whole" operator="greaterThan" allowBlank="1" showErrorMessage="1" errorTitle="Ilość baterii" error="Wstaw wartość większą od 0" sqref="B8">
      <formula1>0</formula1>
    </dataValidation>
    <dataValidation type="whole" allowBlank="1" showErrorMessage="1" errorTitle="Ilość półek" error="Wataw wartość 2 lub 3 lub4" sqref="B9">
      <formula1>2</formula1>
      <formula2>4</formula2>
    </dataValidation>
    <dataValidation operator="equal" allowBlank="1" errorTitle="Segment 1" error="Wprowadź wartość&#10;500mm lub 700mm lub 1000mm" sqref="B10">
      <formula1>0</formula1>
    </dataValidation>
    <dataValidation type="whole" errorTitle="Segment 2" error="Wprowadź wartość&#10;500mm lub 700mm lub 1000mm" sqref="B11">
      <formula1>0</formula1>
      <formula2>1000</formula2>
    </dataValidation>
    <dataValidation operator="equal" allowBlank="1" showErrorMessage="1" errorTitle="Segment 3" error="Wprowadź wartość&#10;500mm lub 700mm lub 1000mm" sqref="B12">
      <formula1>0</formula1>
    </dataValidation>
    <dataValidation operator="equal" allowBlank="1" errorTitle="Segment 3" error="Wprowadź wartość&#10;500mm lub 700mm lub 1000mm" sqref="B13">
      <formula1>0</formula1>
    </dataValidation>
  </dataValidations>
  <hyperlinks>
    <hyperlink ref="A56" r:id="rId1" display="http://www.tmd.pl"/>
    <hyperlink ref="A57" r:id="rId2" display="e-mail: tmd@tmd.pl"/>
  </hyperlink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90" zoomScaleNormal="90" workbookViewId="0" topLeftCell="A1">
      <selection activeCell="C22" sqref="C22"/>
    </sheetView>
  </sheetViews>
  <sheetFormatPr defaultColWidth="12.57421875" defaultRowHeight="12.75"/>
  <cols>
    <col min="1" max="1" width="15.8515625" style="0" customWidth="1"/>
    <col min="2" max="2" width="11.7109375" style="0" customWidth="1"/>
    <col min="3" max="3" width="13.57421875" style="0" customWidth="1"/>
    <col min="4" max="5" width="11.7109375" style="0" customWidth="1"/>
    <col min="6" max="6" width="11.7109375" style="70" customWidth="1"/>
    <col min="7" max="7" width="4.00390625" style="70" customWidth="1"/>
    <col min="8" max="8" width="10.7109375" style="0" customWidth="1"/>
    <col min="9" max="9" width="4.140625" style="0" customWidth="1"/>
    <col min="10" max="16384" width="11.7109375" style="0" customWidth="1"/>
  </cols>
  <sheetData>
    <row r="1" spans="1:7" ht="12.75" customHeight="1">
      <c r="A1" s="71"/>
      <c r="B1" s="72"/>
      <c r="C1" s="73" t="s">
        <v>68</v>
      </c>
      <c r="D1" s="73"/>
      <c r="E1" s="73"/>
      <c r="F1" s="73"/>
      <c r="G1"/>
    </row>
    <row r="2" spans="1:8" ht="12.75" customHeight="1">
      <c r="A2" s="71"/>
      <c r="B2" s="72"/>
      <c r="E2" s="70"/>
      <c r="F2" s="74"/>
      <c r="G2" s="75"/>
      <c r="H2" s="75"/>
    </row>
    <row r="3" spans="1:8" ht="12.75" customHeight="1">
      <c r="A3" s="71"/>
      <c r="B3" s="72"/>
      <c r="E3" s="70"/>
      <c r="F3" s="74" t="s">
        <v>69</v>
      </c>
      <c r="G3" s="76">
        <f ca="1">NOW()</f>
        <v>40737.37897858796</v>
      </c>
      <c r="H3" s="76"/>
    </row>
    <row r="4" spans="1:7" ht="12.75" customHeight="1">
      <c r="A4" s="77" t="s">
        <v>70</v>
      </c>
      <c r="B4" s="77"/>
      <c r="E4" s="70"/>
      <c r="G4"/>
    </row>
    <row r="5" spans="1:9" ht="12.75" customHeight="1">
      <c r="A5" s="78" t="s">
        <v>71</v>
      </c>
      <c r="B5" s="78"/>
      <c r="C5" s="79"/>
      <c r="D5" s="79"/>
      <c r="E5" s="79"/>
      <c r="F5" s="79"/>
      <c r="G5" s="79"/>
      <c r="H5" s="79"/>
      <c r="I5" s="79"/>
    </row>
    <row r="6" spans="1:9" ht="12.75">
      <c r="A6" s="78" t="s">
        <v>72</v>
      </c>
      <c r="B6" s="78"/>
      <c r="C6" s="79"/>
      <c r="D6" s="79"/>
      <c r="E6" s="79"/>
      <c r="F6" s="79"/>
      <c r="G6" s="79"/>
      <c r="H6" s="79"/>
      <c r="I6" s="79"/>
    </row>
    <row r="7" spans="1:9" ht="12.75">
      <c r="A7" s="78" t="s">
        <v>73</v>
      </c>
      <c r="B7" s="78"/>
      <c r="C7" s="79"/>
      <c r="D7" s="79"/>
      <c r="E7" s="79"/>
      <c r="F7" s="79"/>
      <c r="G7" s="79"/>
      <c r="H7" s="79"/>
      <c r="I7" s="79"/>
    </row>
    <row r="8" spans="1:9" ht="12.75">
      <c r="A8" s="80" t="s">
        <v>74</v>
      </c>
      <c r="B8" s="80"/>
      <c r="C8" s="81"/>
      <c r="D8" s="81"/>
      <c r="E8" s="81"/>
      <c r="F8" s="81"/>
      <c r="G8" s="81"/>
      <c r="H8" s="81"/>
      <c r="I8" s="81"/>
    </row>
    <row r="9" spans="1:9" ht="12.75">
      <c r="A9" s="80" t="s">
        <v>75</v>
      </c>
      <c r="B9" s="80"/>
      <c r="C9" s="81"/>
      <c r="D9" s="81"/>
      <c r="E9" s="81"/>
      <c r="F9" s="81"/>
      <c r="G9" s="81"/>
      <c r="H9" s="81"/>
      <c r="I9" s="81"/>
    </row>
    <row r="10" spans="1:9" ht="12.75" customHeight="1">
      <c r="A10" s="82" t="s">
        <v>76</v>
      </c>
      <c r="B10" s="82"/>
      <c r="C10" s="79"/>
      <c r="D10" s="79"/>
      <c r="E10" s="79"/>
      <c r="F10" s="79"/>
      <c r="G10" s="79"/>
      <c r="H10" s="79"/>
      <c r="I10" s="79"/>
    </row>
    <row r="11" spans="1:9" ht="12.75" customHeight="1">
      <c r="A11" s="80" t="s">
        <v>77</v>
      </c>
      <c r="B11" s="80"/>
      <c r="C11" s="81"/>
      <c r="D11" s="81"/>
      <c r="E11" s="81"/>
      <c r="F11" s="81"/>
      <c r="G11" s="81"/>
      <c r="H11" s="81"/>
      <c r="I11" s="81"/>
    </row>
    <row r="12" spans="1:9" ht="12.75">
      <c r="A12" s="80"/>
      <c r="B12" s="83"/>
      <c r="C12" s="83"/>
      <c r="D12" s="83"/>
      <c r="E12" s="83"/>
      <c r="F12" s="83"/>
      <c r="G12" s="83"/>
      <c r="H12" s="70"/>
      <c r="I12" s="70"/>
    </row>
    <row r="13" spans="1:9" ht="12.75">
      <c r="A13" s="84" t="s">
        <v>78</v>
      </c>
      <c r="B13" s="84"/>
      <c r="C13" s="83"/>
      <c r="D13" s="83"/>
      <c r="E13" s="83"/>
      <c r="F13" s="83"/>
      <c r="G13" s="83"/>
      <c r="H13" s="70"/>
      <c r="I13" s="70"/>
    </row>
    <row r="14" spans="1:9" ht="12.75">
      <c r="A14" s="80"/>
      <c r="B14" s="83" t="s">
        <v>71</v>
      </c>
      <c r="C14" s="85" t="s">
        <v>79</v>
      </c>
      <c r="D14" s="85"/>
      <c r="E14" s="85"/>
      <c r="F14" s="85"/>
      <c r="G14" s="85"/>
      <c r="H14" s="85"/>
      <c r="I14" s="85"/>
    </row>
    <row r="15" spans="1:9" ht="12.75">
      <c r="A15" s="80" t="s">
        <v>74</v>
      </c>
      <c r="B15" s="80"/>
      <c r="C15" s="85" t="s">
        <v>80</v>
      </c>
      <c r="D15" s="83"/>
      <c r="E15" s="83"/>
      <c r="F15" s="83"/>
      <c r="G15" s="83"/>
      <c r="H15" s="70"/>
      <c r="I15" s="70"/>
    </row>
    <row r="16" spans="1:9" ht="12.75">
      <c r="A16" s="80" t="s">
        <v>75</v>
      </c>
      <c r="B16" s="80"/>
      <c r="C16" s="85" t="s">
        <v>81</v>
      </c>
      <c r="D16" s="83"/>
      <c r="E16" s="83"/>
      <c r="F16" s="83"/>
      <c r="G16" s="83"/>
      <c r="H16" s="70"/>
      <c r="I16" s="70"/>
    </row>
    <row r="17" spans="1:9" ht="12.75">
      <c r="A17" s="80" t="s">
        <v>73</v>
      </c>
      <c r="B17" s="80"/>
      <c r="C17" s="85" t="s">
        <v>82</v>
      </c>
      <c r="D17" s="85"/>
      <c r="E17" s="85"/>
      <c r="F17" s="85"/>
      <c r="G17" s="85"/>
      <c r="H17" s="85"/>
      <c r="I17" s="85"/>
    </row>
    <row r="18" spans="1:9" ht="12.75">
      <c r="A18" s="80"/>
      <c r="B18" s="83"/>
      <c r="C18" s="85"/>
      <c r="D18" s="83"/>
      <c r="E18" s="83"/>
      <c r="F18" s="83"/>
      <c r="G18" s="83"/>
      <c r="H18" s="70"/>
      <c r="I18" s="70"/>
    </row>
    <row r="19" spans="1:9" ht="12.75">
      <c r="A19" s="80" t="s">
        <v>83</v>
      </c>
      <c r="B19" s="80"/>
      <c r="C19" s="86">
        <v>7035</v>
      </c>
      <c r="D19" s="83" t="s">
        <v>84</v>
      </c>
      <c r="E19" s="83"/>
      <c r="F19" s="83"/>
      <c r="G19" s="83"/>
      <c r="H19" s="70"/>
      <c r="I19" s="70"/>
    </row>
    <row r="20" spans="1:9" ht="12.75">
      <c r="A20" s="80" t="s">
        <v>85</v>
      </c>
      <c r="B20" s="80"/>
      <c r="C20" s="87"/>
      <c r="D20" s="83"/>
      <c r="E20" s="83"/>
      <c r="F20" s="83"/>
      <c r="G20" s="83"/>
      <c r="H20" s="70"/>
      <c r="I20" s="70"/>
    </row>
    <row r="21" spans="1:9" ht="12.75">
      <c r="A21" s="80" t="s">
        <v>86</v>
      </c>
      <c r="B21" s="80"/>
      <c r="C21" s="88">
        <v>1</v>
      </c>
      <c r="D21" s="83"/>
      <c r="E21" s="83"/>
      <c r="F21" s="83"/>
      <c r="G21" s="83"/>
      <c r="H21" s="70"/>
      <c r="I21" s="70"/>
    </row>
    <row r="22" spans="1:9" ht="12.75">
      <c r="A22" s="80" t="s">
        <v>87</v>
      </c>
      <c r="B22" s="80"/>
      <c r="C22" s="89"/>
      <c r="D22" s="85" t="s">
        <v>88</v>
      </c>
      <c r="E22" s="83"/>
      <c r="F22" s="83"/>
      <c r="G22" s="83"/>
      <c r="H22" s="70"/>
      <c r="I22" s="70"/>
    </row>
    <row r="24" spans="1:9" ht="12.75">
      <c r="A24" s="90"/>
      <c r="B24" s="90"/>
      <c r="C24" s="90"/>
      <c r="D24" s="90"/>
      <c r="E24" s="90"/>
      <c r="F24" s="91"/>
      <c r="G24" s="91"/>
      <c r="H24" s="90"/>
      <c r="I24" s="90"/>
    </row>
    <row r="25" spans="1:8" ht="12.75">
      <c r="A25" s="92" t="s">
        <v>89</v>
      </c>
      <c r="C25" s="93">
        <f>Stojak!B50</f>
        <v>390</v>
      </c>
      <c r="E25" t="s">
        <v>90</v>
      </c>
      <c r="H25" s="94">
        <f>Stojak!B18</f>
        <v>1000</v>
      </c>
    </row>
    <row r="26" spans="1:8" ht="12.75">
      <c r="A26" t="s">
        <v>91</v>
      </c>
      <c r="C26" s="72" t="str">
        <f>CONCATENATE(C32,"/",C33,"/",C34,"/",IF(AND(Stojak!B10&gt;0,Stojak!B11&gt;0,Stojak!B12&gt;0),3,IF(AND(Stojak!B10&gt;0,Stojak!B11&gt;0),2,1)))</f>
        <v>20/2/2/1</v>
      </c>
      <c r="E26" t="s">
        <v>92</v>
      </c>
      <c r="H26" s="94">
        <f>Stojak!H15</f>
        <v>600</v>
      </c>
    </row>
    <row r="27" spans="1:8" ht="12.75">
      <c r="A27" t="s">
        <v>93</v>
      </c>
      <c r="C27" s="72" t="str">
        <f>Stojak!B3</f>
        <v>12V24AH</v>
      </c>
      <c r="E27" t="s">
        <v>94</v>
      </c>
      <c r="H27" s="94">
        <f>Stojak!B13</f>
        <v>520</v>
      </c>
    </row>
    <row r="28" spans="1:8" ht="12.75">
      <c r="A28" s="94" t="s">
        <v>95</v>
      </c>
      <c r="C28" s="94">
        <f>Stojak!B4</f>
        <v>168</v>
      </c>
      <c r="E28" s="94" t="str">
        <f>Stojak!A10</f>
        <v>Segment 1 - długość [mm]</v>
      </c>
      <c r="H28" s="94">
        <f>Stojak!B10</f>
        <v>1000</v>
      </c>
    </row>
    <row r="29" spans="1:8" ht="12.75">
      <c r="A29" s="94" t="s">
        <v>96</v>
      </c>
      <c r="C29" s="94">
        <f>Stojak!B5</f>
        <v>178</v>
      </c>
      <c r="E29" s="94" t="str">
        <f>Stojak!A11</f>
        <v>Segment 2 - długość [mm]</v>
      </c>
      <c r="H29" s="94">
        <f>Stojak!B11</f>
        <v>0</v>
      </c>
    </row>
    <row r="30" spans="1:8" ht="12.75">
      <c r="A30" s="94" t="s">
        <v>97</v>
      </c>
      <c r="C30" s="94">
        <f>Stojak!B6</f>
        <v>115</v>
      </c>
      <c r="E30" s="94" t="str">
        <f>Stojak!A12</f>
        <v>Segment 3 - długość [mm]</v>
      </c>
      <c r="H30" s="94">
        <f>Stojak!B12</f>
        <v>0</v>
      </c>
    </row>
    <row r="31" spans="1:7" ht="12.75">
      <c r="A31" s="94" t="str">
        <f>Stojak!A7</f>
        <v>Odstęp między bateriami [mm]</v>
      </c>
      <c r="C31" s="94">
        <f>Stojak!B7</f>
        <v>10</v>
      </c>
      <c r="F31"/>
      <c r="G31"/>
    </row>
    <row r="32" spans="1:8" ht="12.75">
      <c r="A32" s="94" t="str">
        <f>Stojak!A8</f>
        <v>Ilość baterii</v>
      </c>
      <c r="C32" s="94">
        <f>Stojak!B8</f>
        <v>20</v>
      </c>
      <c r="E32" s="94" t="str">
        <f>Stojak!A14</f>
        <v>Ilość baterii na półce (1-rząd)</v>
      </c>
      <c r="H32" s="94">
        <f>Stojak!B14</f>
        <v>5</v>
      </c>
    </row>
    <row r="33" spans="1:8" ht="12.75">
      <c r="A33" s="94" t="str">
        <f>Stojak!A9</f>
        <v>Ilość półek</v>
      </c>
      <c r="C33" s="94">
        <f>Stojak!B9</f>
        <v>2</v>
      </c>
      <c r="E33" s="94" t="str">
        <f>Stojak!A15</f>
        <v>Miejsce na baterie (szt.)</v>
      </c>
      <c r="H33" s="94">
        <f>Stojak!B15</f>
        <v>20</v>
      </c>
    </row>
    <row r="34" spans="1:8" ht="12.75">
      <c r="A34" s="94" t="str">
        <f>Stojak!A16</f>
        <v>Ilość rzędów</v>
      </c>
      <c r="C34" s="94">
        <f>Stojak!B16</f>
        <v>2</v>
      </c>
      <c r="E34" s="94" t="str">
        <f>Stojak!A17</f>
        <v>Wymagana długość stojaka [mm]</v>
      </c>
      <c r="H34" s="94">
        <f>Stojak!B17</f>
        <v>940</v>
      </c>
    </row>
    <row r="36" spans="1:3" ht="12.75">
      <c r="A36" s="75" t="s">
        <v>98</v>
      </c>
      <c r="B36" s="75"/>
      <c r="C36" s="93">
        <f>Stojak!B50*C21</f>
        <v>390</v>
      </c>
    </row>
    <row r="37" spans="1:3" ht="12.75">
      <c r="A37" s="95" t="s">
        <v>99</v>
      </c>
      <c r="B37" s="95"/>
      <c r="C37" s="93">
        <f>Stojak!B50*C21*(100-C22)/100</f>
        <v>390</v>
      </c>
    </row>
  </sheetData>
  <sheetProtection sheet="1"/>
  <mergeCells count="31">
    <mergeCell ref="C1:F1"/>
    <mergeCell ref="G2:H2"/>
    <mergeCell ref="G3:H3"/>
    <mergeCell ref="A4:B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3:B13"/>
    <mergeCell ref="C14:I14"/>
    <mergeCell ref="A15:B15"/>
    <mergeCell ref="A16:B16"/>
    <mergeCell ref="A17:B17"/>
    <mergeCell ref="C17:I17"/>
    <mergeCell ref="A19:B19"/>
    <mergeCell ref="D19:E19"/>
    <mergeCell ref="A20:B20"/>
    <mergeCell ref="A21:B21"/>
    <mergeCell ref="A22:B22"/>
    <mergeCell ref="A36:B36"/>
    <mergeCell ref="A37:B37"/>
  </mergeCells>
  <dataValidations count="3">
    <dataValidation type="whole" allowBlank="1" showErrorMessage="1" errorTitle="Kolor RAL" error="Wstaw liczbę czterocyfrową" sqref="C19">
      <formula1>1000</formula1>
      <formula2>9999</formula2>
    </dataValidation>
    <dataValidation type="whole" operator="greaterThanOrEqual" showErrorMessage="1" errorTitle="Ilość stojaków" error="Minimalna wartość 1" sqref="C21">
      <formula1>1</formula1>
    </dataValidation>
    <dataValidation type="whole" showErrorMessage="1" errorTitle="Upust" error="błąd" sqref="C22">
      <formula1>0</formula1>
      <formula2>100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showGridLines="0" zoomScale="90" zoomScaleNormal="90" workbookViewId="0" topLeftCell="A1">
      <selection activeCell="K28" sqref="K28"/>
    </sheetView>
  </sheetViews>
  <sheetFormatPr defaultColWidth="12.57421875" defaultRowHeight="12.75"/>
  <cols>
    <col min="1" max="1" width="15.8515625" style="0" customWidth="1"/>
    <col min="2" max="2" width="11.7109375" style="0" customWidth="1"/>
    <col min="3" max="3" width="15.28125" style="0" customWidth="1"/>
    <col min="4" max="5" width="11.7109375" style="0" customWidth="1"/>
    <col min="6" max="6" width="11.7109375" style="70" customWidth="1"/>
    <col min="7" max="7" width="4.00390625" style="70" customWidth="1"/>
    <col min="8" max="8" width="10.7109375" style="0" customWidth="1"/>
    <col min="9" max="9" width="4.140625" style="0" customWidth="1"/>
    <col min="10" max="13" width="11.7109375" style="0" customWidth="1"/>
    <col min="14" max="16384" width="11.7109375" style="0" customWidth="1"/>
  </cols>
  <sheetData>
    <row r="1" spans="2:15" ht="12.75">
      <c r="B1" s="96" t="s">
        <v>100</v>
      </c>
      <c r="C1" s="96"/>
      <c r="D1" s="96"/>
      <c r="E1" s="96"/>
      <c r="F1" s="96"/>
      <c r="G1" s="96"/>
      <c r="H1" s="96"/>
      <c r="I1" s="97"/>
      <c r="J1" s="98"/>
      <c r="K1" s="98"/>
      <c r="L1" s="98"/>
      <c r="M1" s="98"/>
      <c r="N1" s="98"/>
      <c r="O1" s="98"/>
    </row>
    <row r="2" spans="2:15" ht="12.75">
      <c r="B2" s="83" t="s">
        <v>101</v>
      </c>
      <c r="C2" s="83"/>
      <c r="D2" s="83"/>
      <c r="E2" s="83"/>
      <c r="F2" s="83"/>
      <c r="G2" s="83"/>
      <c r="H2" s="83"/>
      <c r="I2" s="97"/>
      <c r="J2" s="98"/>
      <c r="K2" s="98"/>
      <c r="L2" s="98"/>
      <c r="M2" s="98"/>
      <c r="N2" s="98"/>
      <c r="O2" s="98"/>
    </row>
    <row r="3" spans="2:15" ht="12.75">
      <c r="B3" s="99" t="s">
        <v>102</v>
      </c>
      <c r="C3" s="99"/>
      <c r="D3" s="99"/>
      <c r="E3" s="99"/>
      <c r="F3" s="99"/>
      <c r="G3" s="99"/>
      <c r="H3" s="99"/>
      <c r="I3" s="97"/>
      <c r="J3" s="98"/>
      <c r="K3" s="98"/>
      <c r="L3" s="98"/>
      <c r="M3" s="98"/>
      <c r="N3" s="98"/>
      <c r="O3" s="98"/>
    </row>
    <row r="4" spans="2:15" ht="12.75">
      <c r="B4" s="83" t="s">
        <v>103</v>
      </c>
      <c r="C4" s="83"/>
      <c r="D4" s="83"/>
      <c r="E4" s="83"/>
      <c r="F4" s="83"/>
      <c r="G4" s="83"/>
      <c r="H4" s="83"/>
      <c r="I4" s="97"/>
      <c r="J4" s="98"/>
      <c r="K4" s="98"/>
      <c r="L4" s="98"/>
      <c r="M4" s="98"/>
      <c r="N4" s="98"/>
      <c r="O4" s="98"/>
    </row>
    <row r="5" spans="9:15" ht="7.5" customHeight="1">
      <c r="I5" s="98"/>
      <c r="J5" s="98"/>
      <c r="K5" s="98"/>
      <c r="L5" s="98"/>
      <c r="M5" s="98"/>
      <c r="N5" s="98"/>
      <c r="O5" s="98"/>
    </row>
    <row r="6" spans="1:15" ht="7.5" customHeight="1">
      <c r="A6" s="1"/>
      <c r="B6" s="1"/>
      <c r="C6" s="1"/>
      <c r="D6" s="1"/>
      <c r="E6" s="1"/>
      <c r="F6" s="69"/>
      <c r="G6" s="69"/>
      <c r="H6" s="1"/>
      <c r="I6" s="4"/>
      <c r="J6" s="98"/>
      <c r="K6" s="98"/>
      <c r="L6" s="98"/>
      <c r="M6" s="98"/>
      <c r="N6" s="98"/>
      <c r="O6" s="98"/>
    </row>
    <row r="7" spans="9:15" ht="12.75">
      <c r="I7" s="98"/>
      <c r="J7" s="98"/>
      <c r="K7" s="98"/>
      <c r="L7" s="98"/>
      <c r="M7" s="98"/>
      <c r="N7" s="98"/>
      <c r="O7" s="98"/>
    </row>
    <row r="8" spans="6:15" ht="12.75">
      <c r="F8" s="70" t="s">
        <v>104</v>
      </c>
      <c r="G8" s="76">
        <f ca="1">NOW()</f>
        <v>40737.3789787037</v>
      </c>
      <c r="H8" s="76"/>
      <c r="I8" s="98"/>
      <c r="J8" s="98"/>
      <c r="K8" s="98"/>
      <c r="L8" s="98"/>
      <c r="M8" s="98"/>
      <c r="N8" s="98"/>
      <c r="O8" s="98"/>
    </row>
    <row r="9" spans="9:15" ht="12.75">
      <c r="I9" s="98"/>
      <c r="J9" s="98"/>
      <c r="K9" s="98"/>
      <c r="L9" s="98"/>
      <c r="M9" s="98"/>
      <c r="N9" s="98"/>
      <c r="O9" s="98"/>
    </row>
    <row r="10" spans="2:19" ht="12.75">
      <c r="B10" s="100" t="s">
        <v>105</v>
      </c>
      <c r="C10" s="100"/>
      <c r="D10" s="100"/>
      <c r="E10" s="100"/>
      <c r="F10" s="100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98"/>
      <c r="S10" s="98"/>
    </row>
    <row r="11" spans="8:19" ht="12.75"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98"/>
      <c r="S11" s="98"/>
    </row>
    <row r="12" spans="2:19" ht="12.75">
      <c r="B12" s="102" t="s">
        <v>106</v>
      </c>
      <c r="C12" s="102"/>
      <c r="D12" s="102"/>
      <c r="E12" s="103">
        <f>IF(OR(Stojak!B9=2,Stojak!B9=4),Stojak!B32,0)</f>
        <v>2</v>
      </c>
      <c r="F12" s="104" t="s">
        <v>107</v>
      </c>
      <c r="G12" s="105">
        <f>IF(E12=0,"---","")</f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98"/>
      <c r="S12" s="98"/>
    </row>
    <row r="13" spans="8:19" ht="12.75" hidden="1"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98"/>
      <c r="S13" s="98"/>
    </row>
    <row r="14" spans="2:19" ht="12.75" hidden="1">
      <c r="B14" s="102" t="s">
        <v>108</v>
      </c>
      <c r="C14" s="102"/>
      <c r="D14" s="102"/>
      <c r="E14" s="103" t="e">
        <f>NA()</f>
        <v>#N/A</v>
      </c>
      <c r="F14" s="104" t="s">
        <v>107</v>
      </c>
      <c r="G14" s="105" t="e">
        <f>IF(E14=0,"---","")</f>
        <v>#N/A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98"/>
      <c r="S14" s="98"/>
    </row>
    <row r="15" spans="8:19" ht="12.75">
      <c r="H15" s="101"/>
      <c r="I15" s="101"/>
      <c r="J15" s="101"/>
      <c r="K15" s="101"/>
      <c r="L15" s="101"/>
      <c r="M15" s="101"/>
      <c r="N15" s="101"/>
      <c r="O15" s="101"/>
      <c r="P15" s="15"/>
      <c r="Q15" s="15"/>
      <c r="R15" s="98"/>
      <c r="S15" s="98"/>
    </row>
    <row r="16" spans="2:19" ht="12.75">
      <c r="B16" s="102" t="s">
        <v>109</v>
      </c>
      <c r="C16" s="102"/>
      <c r="D16" s="102"/>
      <c r="E16" s="103">
        <f>IF(Stojak!B9=3,Stojak!B29,0)</f>
        <v>0</v>
      </c>
      <c r="F16" s="104" t="s">
        <v>107</v>
      </c>
      <c r="G16" s="105" t="str">
        <f>IF(E16=0,"---","")</f>
        <v>---</v>
      </c>
      <c r="H16" s="101"/>
      <c r="I16" s="101"/>
      <c r="J16" s="101"/>
      <c r="K16" s="101"/>
      <c r="L16" s="101"/>
      <c r="M16" s="101"/>
      <c r="N16" s="101"/>
      <c r="O16" s="101"/>
      <c r="P16" s="15"/>
      <c r="Q16" s="15"/>
      <c r="R16" s="98"/>
      <c r="S16" s="98"/>
    </row>
    <row r="17" spans="8:19" ht="12.75" hidden="1">
      <c r="H17" s="101"/>
      <c r="I17" s="101"/>
      <c r="J17" s="101"/>
      <c r="K17" s="101"/>
      <c r="L17" s="101"/>
      <c r="M17" s="101"/>
      <c r="N17" s="101"/>
      <c r="O17" s="101"/>
      <c r="P17" s="15"/>
      <c r="Q17" s="15"/>
      <c r="R17" s="98"/>
      <c r="S17" s="98"/>
    </row>
    <row r="18" spans="2:19" ht="12.75" hidden="1">
      <c r="B18" s="102" t="s">
        <v>110</v>
      </c>
      <c r="C18" s="102"/>
      <c r="D18" s="102"/>
      <c r="E18" s="103" t="e">
        <f>NA()</f>
        <v>#N/A</v>
      </c>
      <c r="F18" s="104" t="s">
        <v>107</v>
      </c>
      <c r="G18" s="105" t="e">
        <f>IF(E18=0,"---","")</f>
        <v>#N/A</v>
      </c>
      <c r="H18" s="101"/>
      <c r="I18" s="101"/>
      <c r="J18" s="101"/>
      <c r="K18" s="101"/>
      <c r="L18" s="101"/>
      <c r="M18" s="101"/>
      <c r="N18" s="101"/>
      <c r="O18" s="101"/>
      <c r="P18" s="15"/>
      <c r="Q18" s="15"/>
      <c r="R18" s="98"/>
      <c r="S18" s="98"/>
    </row>
    <row r="19" spans="8:19" ht="12.75">
      <c r="H19" s="101"/>
      <c r="I19" s="101"/>
      <c r="J19" s="101"/>
      <c r="K19" s="101"/>
      <c r="L19" s="101"/>
      <c r="M19" s="101"/>
      <c r="N19" s="101"/>
      <c r="O19" s="101"/>
      <c r="P19" s="15"/>
      <c r="Q19" s="15"/>
      <c r="R19" s="98"/>
      <c r="S19" s="98"/>
    </row>
    <row r="20" spans="2:19" ht="12.75">
      <c r="B20" s="102" t="s">
        <v>111</v>
      </c>
      <c r="C20" s="102"/>
      <c r="D20" s="102"/>
      <c r="E20" s="103">
        <f>SUM(K20:M20)</f>
        <v>4</v>
      </c>
      <c r="F20" s="104" t="s">
        <v>107</v>
      </c>
      <c r="G20" s="105">
        <f>IF(E20=0,"---","")</f>
      </c>
      <c r="H20" s="101"/>
      <c r="I20" s="101"/>
      <c r="J20" s="101"/>
      <c r="K20" s="106">
        <f>IF(Stojak!B$10=1000,Stojak!B$23,"")</f>
        <v>4</v>
      </c>
      <c r="L20" s="106">
        <f>IF(Stojak!B$11=1000,Stojak!C$23,"")</f>
      </c>
      <c r="M20" s="106">
        <f>IF(Stojak!B$12=1000,Stojak!D$23,"")</f>
      </c>
      <c r="N20" s="101"/>
      <c r="O20" s="101"/>
      <c r="P20" s="15"/>
      <c r="Q20" s="15"/>
      <c r="R20" s="98"/>
      <c r="S20" s="98"/>
    </row>
    <row r="21" spans="8:19" ht="12.75">
      <c r="H21" s="101"/>
      <c r="I21" s="101"/>
      <c r="J21" s="101"/>
      <c r="K21" s="101"/>
      <c r="L21" s="101"/>
      <c r="M21" s="101"/>
      <c r="N21" s="101"/>
      <c r="O21" s="101"/>
      <c r="P21" s="15"/>
      <c r="Q21" s="15"/>
      <c r="R21" s="98"/>
      <c r="S21" s="98"/>
    </row>
    <row r="22" spans="2:19" ht="12.75">
      <c r="B22" s="102" t="s">
        <v>112</v>
      </c>
      <c r="C22" s="102"/>
      <c r="D22" s="102"/>
      <c r="E22" s="103">
        <f>SUM(K22:M22)</f>
        <v>0</v>
      </c>
      <c r="F22" s="104" t="s">
        <v>107</v>
      </c>
      <c r="G22" s="105" t="str">
        <f>IF(E22=0,"---","")</f>
        <v>---</v>
      </c>
      <c r="H22" s="101"/>
      <c r="I22" s="101"/>
      <c r="J22" s="101"/>
      <c r="K22" s="106">
        <f>IF(Stojak!B$10=700,Stojak!B$23,"")</f>
      </c>
      <c r="L22" s="106">
        <f>IF(Stojak!B$11=700,Stojak!C$23,"")</f>
      </c>
      <c r="M22" s="106">
        <f>IF(Stojak!B$12=700,Stojak!D$23,"")</f>
      </c>
      <c r="N22" s="101"/>
      <c r="O22" s="101"/>
      <c r="P22" s="15"/>
      <c r="Q22" s="15"/>
      <c r="R22" s="98"/>
      <c r="S22" s="98"/>
    </row>
    <row r="23" spans="8:19" ht="12.75">
      <c r="H23" s="101"/>
      <c r="I23" s="101"/>
      <c r="J23" s="101"/>
      <c r="K23" s="101"/>
      <c r="L23" s="101"/>
      <c r="M23" s="101"/>
      <c r="N23" s="101"/>
      <c r="O23" s="101"/>
      <c r="P23" s="15"/>
      <c r="Q23" s="15"/>
      <c r="R23" s="98"/>
      <c r="S23" s="98"/>
    </row>
    <row r="24" spans="2:19" ht="12.75">
      <c r="B24" s="102" t="s">
        <v>113</v>
      </c>
      <c r="C24" s="102"/>
      <c r="D24" s="102"/>
      <c r="E24" s="103">
        <f>SUM(K24:M24)</f>
        <v>0</v>
      </c>
      <c r="F24" s="104" t="s">
        <v>107</v>
      </c>
      <c r="G24" s="105" t="str">
        <f>IF(E24=0,"---","")</f>
        <v>---</v>
      </c>
      <c r="H24" s="101"/>
      <c r="I24" s="101"/>
      <c r="J24" s="101"/>
      <c r="K24" s="106">
        <f>IF(Stojak!B$10=500,Stojak!B$23,"")</f>
      </c>
      <c r="L24" s="106">
        <f>IF(Stojak!B$11=500,Stojak!C$23,"")</f>
      </c>
      <c r="M24" s="106">
        <f>IF(Stojak!B$12=500,Stojak!D$23,"")</f>
      </c>
      <c r="N24" s="101"/>
      <c r="O24" s="101"/>
      <c r="P24" s="15"/>
      <c r="Q24" s="15"/>
      <c r="R24" s="98"/>
      <c r="S24" s="98"/>
    </row>
    <row r="25" spans="8:19" ht="12.75">
      <c r="H25" s="101"/>
      <c r="I25" s="101"/>
      <c r="J25" s="101"/>
      <c r="K25" s="101"/>
      <c r="L25" s="101"/>
      <c r="M25" s="101"/>
      <c r="N25" s="101"/>
      <c r="O25" s="101"/>
      <c r="P25" s="15"/>
      <c r="Q25" s="15"/>
      <c r="R25" s="98"/>
      <c r="S25" s="98"/>
    </row>
    <row r="26" spans="2:19" ht="12.75">
      <c r="B26" s="102" t="s">
        <v>114</v>
      </c>
      <c r="C26" s="102"/>
      <c r="D26" s="102"/>
      <c r="E26" s="103">
        <f>SUM(K26:M26)</f>
        <v>4</v>
      </c>
      <c r="F26" s="104" t="s">
        <v>107</v>
      </c>
      <c r="G26" s="105">
        <f>IF(E26=0,"---","")</f>
      </c>
      <c r="H26" s="101"/>
      <c r="I26" s="101"/>
      <c r="J26" s="101"/>
      <c r="K26" s="106">
        <f>IF(Stojak!B$10=1000,Stojak!B$26,"")</f>
        <v>4</v>
      </c>
      <c r="L26" s="106">
        <f>IF(Stojak!B$11=1000,Stojak!C$26,"")</f>
      </c>
      <c r="M26" s="106">
        <f>IF(Stojak!B$12=1000,Stojak!D$26,"")</f>
      </c>
      <c r="N26" s="101"/>
      <c r="O26" s="101"/>
      <c r="P26" s="15"/>
      <c r="Q26" s="15"/>
      <c r="R26" s="98"/>
      <c r="S26" s="98"/>
    </row>
    <row r="27" spans="8:19" ht="12.75">
      <c r="H27" s="101"/>
      <c r="I27" s="101"/>
      <c r="J27" s="101"/>
      <c r="K27" s="101"/>
      <c r="L27" s="101"/>
      <c r="M27" s="101"/>
      <c r="N27" s="101"/>
      <c r="O27" s="101"/>
      <c r="P27" s="15"/>
      <c r="Q27" s="15"/>
      <c r="R27" s="98"/>
      <c r="S27" s="98"/>
    </row>
    <row r="28" spans="2:19" ht="12.75">
      <c r="B28" s="102" t="s">
        <v>115</v>
      </c>
      <c r="C28" s="102"/>
      <c r="D28" s="102"/>
      <c r="E28" s="103">
        <f>SUM(K28:M28)</f>
        <v>0</v>
      </c>
      <c r="F28" s="104" t="s">
        <v>107</v>
      </c>
      <c r="G28" s="105" t="str">
        <f>IF(E28=0,"---","")</f>
        <v>---</v>
      </c>
      <c r="H28" s="101"/>
      <c r="I28" s="101"/>
      <c r="J28" s="101"/>
      <c r="K28" s="106">
        <f>IF(Stojak!B$10=700,Stojak!B$26,"")</f>
      </c>
      <c r="L28" s="106">
        <f>IF(Stojak!B$11=700,Stojak!C$26,"")</f>
      </c>
      <c r="M28" s="106">
        <f>IF(Stojak!B$12=700,Stojak!D$26,"")</f>
      </c>
      <c r="N28" s="101"/>
      <c r="O28" s="101"/>
      <c r="P28" s="15"/>
      <c r="Q28" s="15"/>
      <c r="R28" s="98"/>
      <c r="S28" s="98"/>
    </row>
    <row r="29" spans="8:19" ht="12.75">
      <c r="H29" s="101"/>
      <c r="I29" s="101"/>
      <c r="J29" s="101"/>
      <c r="K29" s="101"/>
      <c r="L29" s="101"/>
      <c r="M29" s="101"/>
      <c r="N29" s="101"/>
      <c r="O29" s="101"/>
      <c r="P29" s="15"/>
      <c r="Q29" s="15"/>
      <c r="R29" s="98"/>
      <c r="S29" s="98"/>
    </row>
    <row r="30" spans="2:19" ht="12.75">
      <c r="B30" s="102" t="s">
        <v>116</v>
      </c>
      <c r="C30" s="102"/>
      <c r="D30" s="102"/>
      <c r="E30" s="103">
        <f>SUM(K30:M30)</f>
        <v>0</v>
      </c>
      <c r="F30" s="104" t="s">
        <v>107</v>
      </c>
      <c r="G30" s="105" t="str">
        <f>IF(E30=0,"---","")</f>
        <v>---</v>
      </c>
      <c r="H30" s="101"/>
      <c r="I30" s="101"/>
      <c r="J30" s="101"/>
      <c r="K30" s="106">
        <f>IF(Stojak!B$10=500,Stojak!B$26,"")</f>
      </c>
      <c r="L30" s="106">
        <f>IF(Stojak!B$11=500,Stojak!C$26,"")</f>
      </c>
      <c r="M30" s="106">
        <f>IF(Stojak!B$12=500,Stojak!D$26,"")</f>
      </c>
      <c r="N30" s="101"/>
      <c r="O30" s="101"/>
      <c r="P30" s="15"/>
      <c r="Q30" s="15"/>
      <c r="R30" s="98"/>
      <c r="S30" s="98"/>
    </row>
    <row r="31" spans="8:19" ht="12.75" hidden="1">
      <c r="H31" s="101"/>
      <c r="I31" s="15"/>
      <c r="J31" s="15"/>
      <c r="K31" s="15"/>
      <c r="L31" s="15"/>
      <c r="M31" s="15"/>
      <c r="N31" s="15"/>
      <c r="O31" s="15"/>
      <c r="P31" s="15"/>
      <c r="Q31" s="15"/>
      <c r="R31" s="98"/>
      <c r="S31" s="98"/>
    </row>
    <row r="32" spans="2:19" ht="12.75" hidden="1">
      <c r="B32" s="107" t="s">
        <v>117</v>
      </c>
      <c r="E32" s="103">
        <f>IF(Stojak!B41&gt;0,Stojak!B41,0)</f>
        <v>0</v>
      </c>
      <c r="F32" s="104" t="s">
        <v>107</v>
      </c>
      <c r="G32" s="105" t="str">
        <f>IF(E32=0,"---","")</f>
        <v>---</v>
      </c>
      <c r="H32" s="101"/>
      <c r="I32" s="15"/>
      <c r="J32" s="15"/>
      <c r="K32" s="108"/>
      <c r="L32" s="108"/>
      <c r="M32" s="15"/>
      <c r="N32" s="15"/>
      <c r="O32" s="15"/>
      <c r="P32" s="15"/>
      <c r="Q32" s="15"/>
      <c r="R32" s="98"/>
      <c r="S32" s="98"/>
    </row>
    <row r="33" spans="2:19" ht="12.75">
      <c r="B33" s="98"/>
      <c r="C33" s="98"/>
      <c r="D33" s="98"/>
      <c r="E33" s="98"/>
      <c r="F33" s="97"/>
      <c r="G33" s="97"/>
      <c r="H33" s="101"/>
      <c r="I33" s="15"/>
      <c r="J33" s="15"/>
      <c r="K33" s="15"/>
      <c r="L33" s="15"/>
      <c r="M33" s="15"/>
      <c r="N33" s="15"/>
      <c r="O33" s="15"/>
      <c r="P33" s="15"/>
      <c r="Q33" s="15"/>
      <c r="R33" s="98"/>
      <c r="S33" s="98"/>
    </row>
    <row r="34" spans="2:19" ht="12.75" hidden="1">
      <c r="B34" s="109" t="s">
        <v>118</v>
      </c>
      <c r="C34" s="109"/>
      <c r="D34" s="109"/>
      <c r="E34" s="110">
        <f>(IF(E32&gt;0,E32,0))</f>
        <v>0</v>
      </c>
      <c r="F34" s="111" t="s">
        <v>107</v>
      </c>
      <c r="G34" s="112" t="str">
        <f>IF(E34=0,"---","")</f>
        <v>---</v>
      </c>
      <c r="H34" s="101"/>
      <c r="I34" s="15"/>
      <c r="J34" s="108">
        <f>IF(E54&gt;0,E54*5,0)</f>
        <v>0</v>
      </c>
      <c r="K34" s="15"/>
      <c r="L34" s="15"/>
      <c r="M34" s="15"/>
      <c r="N34" s="15"/>
      <c r="O34" s="15"/>
      <c r="P34" s="15"/>
      <c r="Q34" s="15"/>
      <c r="R34" s="98"/>
      <c r="S34" s="98"/>
    </row>
    <row r="35" spans="2:19" ht="12.75" hidden="1">
      <c r="B35" s="109"/>
      <c r="C35" s="109"/>
      <c r="D35" s="109"/>
      <c r="E35" s="110"/>
      <c r="F35" s="111"/>
      <c r="G35" s="113"/>
      <c r="H35" s="101"/>
      <c r="I35" s="15"/>
      <c r="J35" s="108"/>
      <c r="K35" s="15"/>
      <c r="L35" s="15"/>
      <c r="M35" s="15"/>
      <c r="N35" s="15"/>
      <c r="O35" s="15"/>
      <c r="P35" s="15"/>
      <c r="Q35" s="15"/>
      <c r="R35" s="98"/>
      <c r="S35" s="98"/>
    </row>
    <row r="36" spans="2:19" ht="12.75">
      <c r="B36" s="107" t="s">
        <v>119</v>
      </c>
      <c r="E36" s="103">
        <f>IF(Stojak!B38&gt;0,Stojak!B38,0)</f>
        <v>0</v>
      </c>
      <c r="F36" s="104" t="s">
        <v>107</v>
      </c>
      <c r="G36" s="105" t="str">
        <f>IF(E36=0,"---","")</f>
        <v>---</v>
      </c>
      <c r="H36" s="101"/>
      <c r="I36" s="15"/>
      <c r="J36" s="15"/>
      <c r="K36" s="15"/>
      <c r="L36" s="15"/>
      <c r="M36" s="15"/>
      <c r="N36" s="15"/>
      <c r="O36" s="15"/>
      <c r="P36" s="15"/>
      <c r="Q36" s="15"/>
      <c r="R36" s="98"/>
      <c r="S36" s="98"/>
    </row>
    <row r="37" spans="8:19" ht="12.75">
      <c r="H37" s="101"/>
      <c r="I37" s="15"/>
      <c r="J37" s="15"/>
      <c r="K37" s="15"/>
      <c r="L37" s="15"/>
      <c r="M37" s="15"/>
      <c r="N37" s="15"/>
      <c r="O37" s="15"/>
      <c r="P37" s="15"/>
      <c r="Q37" s="15"/>
      <c r="R37" s="98"/>
      <c r="S37" s="98"/>
    </row>
    <row r="38" spans="1:19" ht="12.75">
      <c r="A38" s="98"/>
      <c r="B38" s="109" t="s">
        <v>120</v>
      </c>
      <c r="C38" s="109"/>
      <c r="D38" s="109"/>
      <c r="E38" s="110">
        <f>IF(OR(Stojak!B32&gt;0,Stojak!B29),(Stojak!B23+Stojak!B26+Stojak!C23+Stojak!C26+Stojak!D23+Stojak!D26)*2+IF(C64&gt;2,L41*2,L41)+J42,0)</f>
        <v>16</v>
      </c>
      <c r="F38" s="111" t="s">
        <v>107</v>
      </c>
      <c r="G38" s="112">
        <f>IF(E38=0,"---","")</f>
      </c>
      <c r="H38" s="101"/>
      <c r="I38" s="15"/>
      <c r="J38" s="15"/>
      <c r="K38" s="15"/>
      <c r="L38" s="15"/>
      <c r="M38" s="15"/>
      <c r="N38" s="15"/>
      <c r="O38" s="15"/>
      <c r="P38" s="15"/>
      <c r="Q38" s="15"/>
      <c r="R38" s="98"/>
      <c r="S38" s="98"/>
    </row>
    <row r="39" spans="1:19" ht="12.75">
      <c r="A39" s="98"/>
      <c r="B39" s="109"/>
      <c r="C39" s="109"/>
      <c r="D39" s="109"/>
      <c r="E39" s="110"/>
      <c r="F39" s="111"/>
      <c r="G39" s="114"/>
      <c r="H39" s="101"/>
      <c r="I39" s="15"/>
      <c r="J39" s="15" t="s">
        <v>121</v>
      </c>
      <c r="K39" s="15"/>
      <c r="L39" s="15"/>
      <c r="M39" s="15"/>
      <c r="N39" s="15"/>
      <c r="O39" s="15"/>
      <c r="P39" s="15"/>
      <c r="Q39" s="15"/>
      <c r="R39" s="98"/>
      <c r="S39" s="98"/>
    </row>
    <row r="40" spans="1:19" ht="12.75">
      <c r="A40" s="98"/>
      <c r="B40" s="109" t="s">
        <v>122</v>
      </c>
      <c r="C40" s="98"/>
      <c r="D40" s="98"/>
      <c r="E40" s="110">
        <f>IF(OR(E12&gt;0,E16&gt;0),E54,0)</f>
        <v>0</v>
      </c>
      <c r="F40" s="111" t="s">
        <v>107</v>
      </c>
      <c r="G40" s="112" t="str">
        <f>IF(E40=0,"---","")</f>
        <v>---</v>
      </c>
      <c r="H40" s="101"/>
      <c r="I40" s="15"/>
      <c r="J40" s="15">
        <f>IF(E50&gt;0,E50*2,0)</f>
        <v>0</v>
      </c>
      <c r="K40" s="15"/>
      <c r="L40" s="15" t="s">
        <v>123</v>
      </c>
      <c r="M40" s="15"/>
      <c r="N40" s="108"/>
      <c r="O40" s="15"/>
      <c r="P40" s="15"/>
      <c r="Q40" s="15"/>
      <c r="R40" s="98"/>
      <c r="S40" s="98"/>
    </row>
    <row r="41" spans="1:19" ht="12.75">
      <c r="A41" s="98"/>
      <c r="B41" s="98"/>
      <c r="C41" s="98"/>
      <c r="D41" s="98"/>
      <c r="E41" s="110"/>
      <c r="F41" s="97"/>
      <c r="G41" s="114"/>
      <c r="H41" s="101"/>
      <c r="I41" s="15"/>
      <c r="J41" s="15" t="s">
        <v>124</v>
      </c>
      <c r="K41" s="15"/>
      <c r="L41" s="15">
        <f>IF(OR(H59=500,H60=500,H61=500,C64&lt;3),ABS(J42-J40),0)</f>
        <v>0</v>
      </c>
      <c r="M41" s="15"/>
      <c r="N41" s="15"/>
      <c r="O41" s="15"/>
      <c r="P41" s="15"/>
      <c r="Q41" s="15"/>
      <c r="R41" s="98"/>
      <c r="S41" s="98"/>
    </row>
    <row r="42" spans="1:19" ht="12.75">
      <c r="A42" s="98"/>
      <c r="B42" s="109" t="s">
        <v>125</v>
      </c>
      <c r="C42" s="109"/>
      <c r="D42" s="109"/>
      <c r="E42" s="110">
        <f>(IF(OR(E54&gt;0,E50&gt;0),E54*4+IF(C64&gt;2,L41*2,L41),0))</f>
        <v>0</v>
      </c>
      <c r="F42" s="111" t="s">
        <v>107</v>
      </c>
      <c r="G42" s="112" t="str">
        <f>IF(E42=0,"---","")</f>
        <v>---</v>
      </c>
      <c r="H42" s="101"/>
      <c r="I42" s="15"/>
      <c r="J42" s="15">
        <f>IF(E54&gt;0,E54*5,0)</f>
        <v>0</v>
      </c>
      <c r="K42" s="15"/>
      <c r="L42" s="15"/>
      <c r="M42" s="15"/>
      <c r="N42" s="15"/>
      <c r="O42" s="15"/>
      <c r="P42" s="15"/>
      <c r="Q42" s="15"/>
      <c r="R42" s="98"/>
      <c r="S42" s="98"/>
    </row>
    <row r="43" spans="1:19" ht="12.75">
      <c r="A43" s="98"/>
      <c r="B43" s="109"/>
      <c r="C43" s="109"/>
      <c r="D43" s="109"/>
      <c r="E43" s="110"/>
      <c r="F43" s="111"/>
      <c r="G43" s="114"/>
      <c r="H43" s="101"/>
      <c r="I43" s="15"/>
      <c r="J43" s="15"/>
      <c r="K43" s="15"/>
      <c r="L43" s="15"/>
      <c r="M43" s="15"/>
      <c r="N43" s="15"/>
      <c r="O43" s="15"/>
      <c r="P43" s="15"/>
      <c r="Q43" s="15"/>
      <c r="R43" s="98"/>
      <c r="S43" s="98"/>
    </row>
    <row r="44" spans="1:19" ht="12.75">
      <c r="A44" s="98"/>
      <c r="B44" s="109" t="s">
        <v>126</v>
      </c>
      <c r="C44" s="109"/>
      <c r="D44" s="109"/>
      <c r="E44" s="110">
        <f>IF(OR(E12&gt;0,E16&gt;0),(E20+E22+E24+E26+E28+E30)*2+2*E54,0)</f>
        <v>16</v>
      </c>
      <c r="F44" s="111" t="s">
        <v>107</v>
      </c>
      <c r="G44" s="112">
        <f>IF(E44=0,"---","")</f>
      </c>
      <c r="H44" s="101"/>
      <c r="I44" s="15"/>
      <c r="J44" s="15"/>
      <c r="K44" s="15"/>
      <c r="L44" s="15"/>
      <c r="M44" s="15"/>
      <c r="N44" s="15"/>
      <c r="O44" s="15"/>
      <c r="P44" s="15"/>
      <c r="Q44" s="15"/>
      <c r="R44" s="98"/>
      <c r="S44" s="98"/>
    </row>
    <row r="45" spans="1:19" ht="12.75">
      <c r="A45" s="98"/>
      <c r="B45" s="109"/>
      <c r="C45" s="109"/>
      <c r="D45" s="109"/>
      <c r="E45" s="110"/>
      <c r="F45" s="111"/>
      <c r="G45" s="114"/>
      <c r="H45" s="101"/>
      <c r="I45" s="15"/>
      <c r="J45" s="15"/>
      <c r="K45" s="15"/>
      <c r="L45" s="15"/>
      <c r="M45" s="15"/>
      <c r="N45" s="15"/>
      <c r="O45" s="15"/>
      <c r="P45" s="15"/>
      <c r="Q45" s="15"/>
      <c r="R45" s="98"/>
      <c r="S45" s="98"/>
    </row>
    <row r="46" spans="1:19" ht="12.75">
      <c r="A46" s="98"/>
      <c r="B46" s="109" t="s">
        <v>127</v>
      </c>
      <c r="C46" s="98"/>
      <c r="D46" s="98"/>
      <c r="E46" s="110">
        <f>(IF(OR(E12&gt;0,E16&gt;0),E38,0))</f>
        <v>16</v>
      </c>
      <c r="F46" s="111" t="s">
        <v>107</v>
      </c>
      <c r="G46" s="112">
        <f>IF(E46=0,"---","")</f>
      </c>
      <c r="H46" s="101"/>
      <c r="I46" s="15"/>
      <c r="J46" s="15"/>
      <c r="K46" s="15"/>
      <c r="L46" s="15"/>
      <c r="M46" s="15"/>
      <c r="N46" s="15"/>
      <c r="O46" s="15"/>
      <c r="P46" s="15"/>
      <c r="Q46" s="15"/>
      <c r="R46" s="98"/>
      <c r="S46" s="98"/>
    </row>
    <row r="47" spans="1:19" ht="12.75">
      <c r="A47" s="98"/>
      <c r="B47" s="109"/>
      <c r="C47" s="109"/>
      <c r="D47" s="109"/>
      <c r="E47" s="110"/>
      <c r="F47" s="111"/>
      <c r="G47" s="114"/>
      <c r="H47" s="101"/>
      <c r="I47" s="15"/>
      <c r="J47" s="15"/>
      <c r="K47" s="15"/>
      <c r="L47" s="15"/>
      <c r="M47" s="15"/>
      <c r="N47" s="15"/>
      <c r="O47" s="15"/>
      <c r="P47" s="15"/>
      <c r="Q47" s="15"/>
      <c r="R47" s="98"/>
      <c r="S47" s="98"/>
    </row>
    <row r="48" spans="2:19" ht="12.75">
      <c r="B48" s="107" t="s">
        <v>128</v>
      </c>
      <c r="E48" s="103">
        <f>IF(Stojak!B35&gt;0,Stojak!B35,0)</f>
        <v>4</v>
      </c>
      <c r="F48" s="104" t="s">
        <v>107</v>
      </c>
      <c r="G48" s="105">
        <f>IF(E48=0,"---","")</f>
      </c>
      <c r="H48" s="101"/>
      <c r="I48" s="15"/>
      <c r="J48" s="15" t="s">
        <v>129</v>
      </c>
      <c r="K48" s="15"/>
      <c r="L48" s="15"/>
      <c r="M48" s="15"/>
      <c r="N48" s="15"/>
      <c r="O48" s="15"/>
      <c r="P48" s="15"/>
      <c r="Q48" s="15"/>
      <c r="R48" s="98"/>
      <c r="S48" s="98"/>
    </row>
    <row r="49" spans="6:19" ht="12.75">
      <c r="F49"/>
      <c r="G49"/>
      <c r="H49" s="101"/>
      <c r="I49" s="15"/>
      <c r="J49" s="15">
        <f>IF(H60=500,4,0)</f>
        <v>0</v>
      </c>
      <c r="K49" s="15"/>
      <c r="L49" s="15" t="s">
        <v>130</v>
      </c>
      <c r="M49" s="15"/>
      <c r="N49" s="15"/>
      <c r="O49" s="15"/>
      <c r="P49" s="15"/>
      <c r="Q49" s="15"/>
      <c r="R49" s="98"/>
      <c r="S49" s="98"/>
    </row>
    <row r="50" spans="2:19" ht="12.75">
      <c r="B50" s="107" t="s">
        <v>131</v>
      </c>
      <c r="E50" s="103">
        <f>IF(Stojak!B41&gt;0,Stojak!B41,0)</f>
        <v>0</v>
      </c>
      <c r="F50" s="104" t="s">
        <v>107</v>
      </c>
      <c r="G50" s="105" t="str">
        <f>IF(E50=0,"---","")</f>
        <v>---</v>
      </c>
      <c r="H50" s="101"/>
      <c r="I50" s="15"/>
      <c r="J50" s="15">
        <f>IF(H59=500,4,0)</f>
        <v>0</v>
      </c>
      <c r="K50" s="15"/>
      <c r="L50" s="15">
        <f>J42+J52</f>
        <v>0</v>
      </c>
      <c r="M50" s="15"/>
      <c r="N50" s="15"/>
      <c r="O50" s="15"/>
      <c r="P50" s="15"/>
      <c r="Q50" s="15"/>
      <c r="R50" s="98"/>
      <c r="S50" s="98"/>
    </row>
    <row r="51" spans="8:19" ht="12.75">
      <c r="H51" s="101"/>
      <c r="I51" s="15"/>
      <c r="J51" s="108">
        <f>IF(H61=500,4,0)</f>
        <v>0</v>
      </c>
      <c r="K51" s="15"/>
      <c r="L51" s="15"/>
      <c r="M51" s="15"/>
      <c r="N51" s="15"/>
      <c r="O51" s="15"/>
      <c r="P51" s="15"/>
      <c r="Q51" s="15"/>
      <c r="R51" s="98"/>
      <c r="S51" s="98"/>
    </row>
    <row r="52" spans="2:19" ht="12.75">
      <c r="B52" s="107" t="s">
        <v>132</v>
      </c>
      <c r="E52" s="103">
        <f>Stojak!B44</f>
        <v>4</v>
      </c>
      <c r="F52" s="104" t="s">
        <v>107</v>
      </c>
      <c r="G52" s="105">
        <f>IF(E52=0,"---","")</f>
      </c>
      <c r="H52" s="101"/>
      <c r="I52" s="15"/>
      <c r="J52" s="108">
        <f>SUM(J49:J51)</f>
        <v>0</v>
      </c>
      <c r="K52" s="15"/>
      <c r="L52" s="15"/>
      <c r="M52" s="15"/>
      <c r="N52" s="15"/>
      <c r="O52" s="15"/>
      <c r="P52" s="15"/>
      <c r="Q52" s="15"/>
      <c r="R52" s="98"/>
      <c r="S52" s="98"/>
    </row>
    <row r="53" spans="8:17" ht="12.75">
      <c r="H53" s="101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07" t="s">
        <v>133</v>
      </c>
      <c r="E54" s="103">
        <f>IF(Stojak!B47&gt;0,Stojak!B47,0)</f>
        <v>0</v>
      </c>
      <c r="F54" s="104" t="s">
        <v>107</v>
      </c>
      <c r="G54" s="105" t="str">
        <f>IF(E54=0,"---","")</f>
        <v>---</v>
      </c>
      <c r="H54" s="101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07"/>
      <c r="E55" s="103"/>
      <c r="F55" s="104"/>
      <c r="G55" s="115"/>
      <c r="H55" s="101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07" t="s">
        <v>134</v>
      </c>
      <c r="E56" s="103">
        <f>IF(C64=3,E50/4,E50/2)</f>
        <v>0</v>
      </c>
      <c r="F56" s="104" t="s">
        <v>107</v>
      </c>
      <c r="G56" s="105" t="str">
        <f>IF(E56=0,"---","")</f>
        <v>---</v>
      </c>
      <c r="H56" s="101"/>
      <c r="I56" s="15"/>
      <c r="J56" s="15"/>
      <c r="K56" s="15"/>
      <c r="L56" s="15"/>
      <c r="M56" s="15"/>
      <c r="N56" s="15"/>
      <c r="O56" s="15"/>
      <c r="P56" s="15"/>
      <c r="Q56" s="15"/>
    </row>
    <row r="57" spans="8:17" ht="12.75">
      <c r="H57" s="101"/>
      <c r="I57" s="15"/>
      <c r="J57" s="108">
        <f>IF(AND(H59&gt;0,H60&gt;0),0,0)</f>
        <v>0</v>
      </c>
      <c r="K57" s="15"/>
      <c r="L57" s="15"/>
      <c r="M57" s="15"/>
      <c r="N57" s="15"/>
      <c r="O57" s="15"/>
      <c r="P57" s="15"/>
      <c r="Q57" s="15"/>
    </row>
    <row r="58" spans="1:17" ht="12.75">
      <c r="A58" t="s">
        <v>135</v>
      </c>
      <c r="B58" s="116" t="str">
        <f>Stojak!B3</f>
        <v>12V24AH</v>
      </c>
      <c r="C58" s="116"/>
      <c r="I58" s="15"/>
      <c r="J58" s="15"/>
      <c r="K58" s="15"/>
      <c r="L58" s="15"/>
      <c r="M58" s="15"/>
      <c r="N58" s="15"/>
      <c r="O58" s="15"/>
      <c r="P58" s="15"/>
      <c r="Q58" s="39"/>
    </row>
    <row r="59" spans="1:17" ht="12.75">
      <c r="A59" s="94" t="str">
        <f>Stojak!A4</f>
        <v>Bateria Długość [mm]</v>
      </c>
      <c r="C59" s="94">
        <f>Stojak!B4</f>
        <v>168</v>
      </c>
      <c r="E59" s="94" t="str">
        <f>Stojak!A10</f>
        <v>Segment 1 - długość [mm]</v>
      </c>
      <c r="H59" s="94">
        <f>Stojak!B10</f>
        <v>1000</v>
      </c>
      <c r="I59" s="15"/>
      <c r="J59" s="3"/>
      <c r="K59" s="15"/>
      <c r="L59" s="15"/>
      <c r="M59" s="15"/>
      <c r="N59" s="15"/>
      <c r="O59" s="15"/>
      <c r="P59" s="15"/>
      <c r="Q59" s="39"/>
    </row>
    <row r="60" spans="1:17" ht="12.75">
      <c r="A60" s="94" t="str">
        <f>Stojak!A5</f>
        <v>Bateria Szerokość [mm]</v>
      </c>
      <c r="C60" s="94">
        <f>Stojak!B5</f>
        <v>178</v>
      </c>
      <c r="E60" s="94" t="str">
        <f>Stojak!A11</f>
        <v>Segment 2 - długość [mm]</v>
      </c>
      <c r="H60" s="94">
        <f>Stojak!B11</f>
        <v>0</v>
      </c>
      <c r="I60" s="15"/>
      <c r="K60" s="3"/>
      <c r="L60" s="3"/>
      <c r="M60" s="15"/>
      <c r="N60" s="15"/>
      <c r="O60" s="15"/>
      <c r="P60" s="15"/>
      <c r="Q60" s="15"/>
    </row>
    <row r="61" spans="1:17" ht="12.75">
      <c r="A61" s="94" t="str">
        <f>Stojak!A6</f>
        <v>Bateria Wysokość [mm]</v>
      </c>
      <c r="C61" s="94">
        <f>Stojak!B6</f>
        <v>115</v>
      </c>
      <c r="E61" s="94" t="str">
        <f>Stojak!A12</f>
        <v>Segment 3 - długość [mm]</v>
      </c>
      <c r="H61" s="94">
        <f>Stojak!B12</f>
        <v>0</v>
      </c>
      <c r="I61" s="3"/>
      <c r="M61" s="3"/>
      <c r="N61" s="3"/>
      <c r="O61" s="3"/>
      <c r="P61" s="3"/>
      <c r="Q61" s="3"/>
    </row>
    <row r="62" spans="1:8" ht="12.75">
      <c r="A62" s="94" t="str">
        <f>Stojak!A7</f>
        <v>Odstęp między bateriami [mm]</v>
      </c>
      <c r="C62" s="94">
        <f>Stojak!B7</f>
        <v>10</v>
      </c>
      <c r="E62" s="94" t="str">
        <f>Stojak!A14</f>
        <v>Ilość baterii na półce (1-rząd)</v>
      </c>
      <c r="H62" s="94">
        <f>Stojak!B14</f>
        <v>5</v>
      </c>
    </row>
    <row r="63" spans="1:8" ht="12.75">
      <c r="A63" s="94" t="str">
        <f>Stojak!A8</f>
        <v>Ilość baterii</v>
      </c>
      <c r="C63" s="94">
        <f>Stojak!B8</f>
        <v>20</v>
      </c>
      <c r="E63" s="94" t="str">
        <f>Stojak!A15</f>
        <v>Miejsce na baterie (szt.)</v>
      </c>
      <c r="H63" s="94">
        <f>Stojak!B15</f>
        <v>20</v>
      </c>
    </row>
    <row r="64" spans="1:8" ht="12.75">
      <c r="A64" s="94" t="str">
        <f>Stojak!A9</f>
        <v>Ilość półek</v>
      </c>
      <c r="C64" s="94">
        <f>Stojak!B9</f>
        <v>2</v>
      </c>
      <c r="E64" s="94" t="str">
        <f>Stojak!A17</f>
        <v>Wymagana długość stojaka [mm]</v>
      </c>
      <c r="H64" s="94">
        <f>Stojak!B17</f>
        <v>940</v>
      </c>
    </row>
    <row r="65" spans="1:8" ht="12.75">
      <c r="A65" s="94" t="str">
        <f>Stojak!A16</f>
        <v>Ilość rzędów</v>
      </c>
      <c r="C65" s="94">
        <f>Stojak!B16</f>
        <v>2</v>
      </c>
      <c r="E65" s="94" t="str">
        <f>Stojak!A18</f>
        <v>Rzeczywista długość stojaka [mm]</v>
      </c>
      <c r="H65" s="94">
        <f>Stojak!B18</f>
        <v>1000</v>
      </c>
    </row>
  </sheetData>
  <sheetProtection sheet="1"/>
  <mergeCells count="17">
    <mergeCell ref="B1:H1"/>
    <mergeCell ref="B2:H2"/>
    <mergeCell ref="B3:H3"/>
    <mergeCell ref="B4:H4"/>
    <mergeCell ref="G8:H8"/>
    <mergeCell ref="B10:G10"/>
    <mergeCell ref="B12:D12"/>
    <mergeCell ref="B14:D14"/>
    <mergeCell ref="B16:D16"/>
    <mergeCell ref="B18:D18"/>
    <mergeCell ref="B20:D20"/>
    <mergeCell ref="B22:D22"/>
    <mergeCell ref="B24:D24"/>
    <mergeCell ref="B26:D26"/>
    <mergeCell ref="B28:D28"/>
    <mergeCell ref="B30:D30"/>
    <mergeCell ref="B58:C5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8"/>
  <sheetViews>
    <sheetView showGridLines="0" zoomScale="90" zoomScaleNormal="90" workbookViewId="0" topLeftCell="A1">
      <selection activeCell="A1" sqref="A1"/>
    </sheetView>
  </sheetViews>
  <sheetFormatPr defaultColWidth="12.57421875" defaultRowHeight="12.75"/>
  <cols>
    <col min="1" max="3" width="11.7109375" style="0" customWidth="1"/>
    <col min="4" max="6" width="0" style="0" hidden="1" customWidth="1"/>
    <col min="7" max="16384" width="11.7109375" style="0" customWidth="1"/>
  </cols>
  <sheetData>
    <row r="3" spans="4:6" ht="12.75">
      <c r="D3" s="117"/>
      <c r="E3" s="117"/>
      <c r="F3" s="118" t="s">
        <v>136</v>
      </c>
    </row>
    <row r="4" spans="1:6" ht="12.75">
      <c r="A4" s="119" t="s">
        <v>137</v>
      </c>
      <c r="B4" s="119"/>
      <c r="C4" s="119"/>
      <c r="D4" s="120"/>
      <c r="E4" s="121"/>
      <c r="F4" s="122">
        <v>59</v>
      </c>
    </row>
    <row r="5" spans="1:6" ht="12.75">
      <c r="A5" s="119" t="s">
        <v>138</v>
      </c>
      <c r="B5" s="119"/>
      <c r="C5" s="119"/>
      <c r="D5" s="120"/>
      <c r="E5" s="121"/>
      <c r="F5" s="122">
        <v>79</v>
      </c>
    </row>
    <row r="6" spans="1:6" ht="12.75">
      <c r="A6" s="119" t="s">
        <v>139</v>
      </c>
      <c r="B6" s="119"/>
      <c r="C6" s="119"/>
      <c r="D6" s="120"/>
      <c r="E6" s="121"/>
      <c r="F6" s="122">
        <v>89</v>
      </c>
    </row>
    <row r="7" spans="1:6" ht="12.75">
      <c r="A7" s="119" t="s">
        <v>140</v>
      </c>
      <c r="B7" s="119"/>
      <c r="C7" s="119"/>
      <c r="D7" s="120"/>
      <c r="E7" s="121"/>
      <c r="F7" s="122">
        <v>119</v>
      </c>
    </row>
    <row r="8" spans="1:6" ht="12.75">
      <c r="A8" s="119" t="s">
        <v>141</v>
      </c>
      <c r="B8" s="119"/>
      <c r="C8" s="119"/>
      <c r="D8" s="120"/>
      <c r="E8" s="121"/>
      <c r="F8" s="122">
        <v>27.5</v>
      </c>
    </row>
    <row r="9" spans="1:6" ht="12.75">
      <c r="A9" s="119" t="s">
        <v>142</v>
      </c>
      <c r="B9" s="119"/>
      <c r="C9" s="119"/>
      <c r="D9" s="120"/>
      <c r="E9" s="121"/>
      <c r="F9" s="122">
        <v>32.5</v>
      </c>
    </row>
    <row r="10" spans="1:6" ht="12.75">
      <c r="A10" s="119" t="s">
        <v>143</v>
      </c>
      <c r="B10" s="119"/>
      <c r="C10" s="119"/>
      <c r="D10" s="120"/>
      <c r="E10" s="121"/>
      <c r="F10" s="122">
        <v>39.5</v>
      </c>
    </row>
    <row r="11" spans="1:6" ht="12.75">
      <c r="A11" s="119" t="s">
        <v>144</v>
      </c>
      <c r="B11" s="119"/>
      <c r="C11" s="119"/>
      <c r="D11" s="120"/>
      <c r="E11" s="121"/>
      <c r="F11" s="122">
        <v>27.5</v>
      </c>
    </row>
    <row r="12" spans="1:6" ht="12.75">
      <c r="A12" s="119" t="s">
        <v>145</v>
      </c>
      <c r="B12" s="119"/>
      <c r="C12" s="119"/>
      <c r="D12" s="120"/>
      <c r="E12" s="121"/>
      <c r="F12" s="122">
        <v>32.5</v>
      </c>
    </row>
    <row r="13" spans="1:6" ht="12.75">
      <c r="A13" s="119" t="s">
        <v>146</v>
      </c>
      <c r="B13" s="119"/>
      <c r="C13" s="119"/>
      <c r="D13" s="120"/>
      <c r="E13" s="121"/>
      <c r="F13" s="122">
        <v>39.5</v>
      </c>
    </row>
    <row r="14" spans="1:6" ht="12.75">
      <c r="A14" s="119" t="s">
        <v>128</v>
      </c>
      <c r="B14" s="119"/>
      <c r="C14" s="119"/>
      <c r="D14" s="120"/>
      <c r="E14" s="121"/>
      <c r="F14" s="122">
        <v>3</v>
      </c>
    </row>
    <row r="15" spans="1:6" ht="12.75">
      <c r="A15" s="119" t="s">
        <v>147</v>
      </c>
      <c r="B15" s="119"/>
      <c r="C15" s="119"/>
      <c r="D15" s="120"/>
      <c r="E15" s="121"/>
      <c r="F15" s="122">
        <v>10</v>
      </c>
    </row>
    <row r="16" spans="1:6" ht="12.75">
      <c r="A16" s="119" t="s">
        <v>148</v>
      </c>
      <c r="B16" s="119"/>
      <c r="C16" s="119"/>
      <c r="D16" s="120"/>
      <c r="E16" s="121"/>
      <c r="F16" s="122">
        <v>3.5</v>
      </c>
    </row>
    <row r="17" spans="1:6" ht="12.75">
      <c r="A17" s="119" t="s">
        <v>132</v>
      </c>
      <c r="B17" s="119"/>
      <c r="C17" s="119"/>
      <c r="D17" s="120"/>
      <c r="E17" s="121"/>
      <c r="F17" s="122">
        <v>1.75</v>
      </c>
    </row>
    <row r="18" spans="1:6" ht="12.75">
      <c r="A18" s="119" t="s">
        <v>149</v>
      </c>
      <c r="B18" s="119"/>
      <c r="C18" s="119"/>
      <c r="D18" s="120"/>
      <c r="E18" s="121"/>
      <c r="F18" s="122">
        <v>31</v>
      </c>
    </row>
  </sheetData>
  <sheetProtection sheet="1"/>
  <mergeCells count="15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Machnio</dc:creator>
  <cp:keywords/>
  <dc:description/>
  <cp:lastModifiedBy/>
  <cp:lastPrinted>2007-10-26T14:37:17Z</cp:lastPrinted>
  <dcterms:created xsi:type="dcterms:W3CDTF">2007-02-09T11:54:14Z</dcterms:created>
  <dcterms:modified xsi:type="dcterms:W3CDTF">2011-07-13T07:05:43Z</dcterms:modified>
  <cp:category/>
  <cp:version/>
  <cp:contentType/>
  <cp:contentStatus/>
  <cp:revision>67</cp:revision>
</cp:coreProperties>
</file>